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5135" windowHeight="5580" firstSheet="11" activeTab="15"/>
  </bookViews>
  <sheets>
    <sheet name="tropical livestock unit" sheetId="1" r:id="rId1"/>
    <sheet name="land size" sheetId="2" r:id="rId2"/>
    <sheet name="family size" sheetId="3" r:id="rId3"/>
    <sheet name="Etnic group, religion" sheetId="4" r:id="rId4"/>
    <sheet name="age of household head" sheetId="5" r:id="rId5"/>
    <sheet name="Acces to draft power" sheetId="7" r:id="rId6"/>
    <sheet name="Acces al credit" sheetId="6" r:id="rId7"/>
    <sheet name="acces social institution" sheetId="8" r:id="rId8"/>
    <sheet name="Total  income" sheetId="9" r:id="rId9"/>
    <sheet name="non food expenditure" sheetId="10" r:id="rId10"/>
    <sheet name="beneficiari ajuda alimentaria" sheetId="11" r:id="rId11"/>
    <sheet name="education level" sheetId="13" r:id="rId12"/>
    <sheet name="Us de fertilitzants" sheetId="12" r:id="rId13"/>
    <sheet name="Ingresos x adult equivalent" sheetId="14" r:id="rId14"/>
    <sheet name="cafe i enset" sheetId="15" r:id="rId15"/>
    <sheet name="Fertilitat del sòl" sheetId="16" r:id="rId16"/>
  </sheets>
  <calcPr calcId="124519"/>
</workbook>
</file>

<file path=xl/calcChain.xml><?xml version="1.0" encoding="utf-8"?>
<calcChain xmlns="http://schemas.openxmlformats.org/spreadsheetml/2006/main">
  <c r="U44" i="10"/>
  <c r="U43"/>
  <c r="W42"/>
  <c r="V42"/>
  <c r="U42"/>
  <c r="V85" i="8"/>
  <c r="V83"/>
  <c r="V84"/>
  <c r="U86"/>
  <c r="U85"/>
  <c r="U84"/>
  <c r="T86"/>
  <c r="Q62"/>
  <c r="P63"/>
  <c r="X74"/>
  <c r="X71"/>
  <c r="X69"/>
  <c r="X68"/>
  <c r="T71"/>
  <c r="T69"/>
  <c r="X75"/>
  <c r="X73"/>
  <c r="T74"/>
  <c r="T75" s="1"/>
  <c r="T68"/>
  <c r="P61"/>
  <c r="P71"/>
  <c r="P69"/>
  <c r="P68"/>
  <c r="P74"/>
  <c r="P75" s="1"/>
  <c r="P73"/>
  <c r="R63"/>
  <c r="R60"/>
  <c r="P40"/>
  <c r="X52"/>
  <c r="X49"/>
  <c r="X46"/>
  <c r="X51" s="1"/>
  <c r="X53"/>
  <c r="X47"/>
  <c r="O41"/>
  <c r="T51"/>
  <c r="T49"/>
  <c r="T47"/>
  <c r="T46"/>
  <c r="O39"/>
  <c r="P51"/>
  <c r="P49"/>
  <c r="P46"/>
  <c r="P47"/>
  <c r="T52"/>
  <c r="T53" s="1"/>
  <c r="T55"/>
  <c r="P52"/>
  <c r="P53" s="1"/>
  <c r="P55"/>
  <c r="Q38"/>
  <c r="P38"/>
  <c r="O38"/>
  <c r="Q41"/>
  <c r="J23" i="11"/>
  <c r="H12"/>
  <c r="J20"/>
  <c r="X77" i="8" l="1"/>
  <c r="T73"/>
  <c r="T77" s="1"/>
  <c r="P77"/>
  <c r="X55"/>
  <c r="O25" i="11"/>
  <c r="R55" i="4"/>
  <c r="Q56"/>
  <c r="Q54"/>
  <c r="M55"/>
  <c r="M52"/>
  <c r="M58"/>
  <c r="M59" s="1"/>
  <c r="L36"/>
  <c r="L40"/>
  <c r="L38"/>
  <c r="J57"/>
  <c r="J55"/>
  <c r="J53"/>
  <c r="M53"/>
  <c r="M57"/>
  <c r="J58"/>
  <c r="J59" s="1"/>
  <c r="J52"/>
  <c r="R53"/>
  <c r="R52"/>
  <c r="S52"/>
  <c r="S53"/>
  <c r="S56"/>
  <c r="L41"/>
  <c r="L42" s="1"/>
  <c r="L35"/>
  <c r="Q40"/>
  <c r="Q38"/>
  <c r="S37"/>
  <c r="R37"/>
  <c r="S40"/>
  <c r="M61" l="1"/>
  <c r="J61"/>
  <c r="L44"/>
  <c r="R39" s="1"/>
  <c r="G41"/>
  <c r="G38"/>
  <c r="G36"/>
  <c r="T29" i="13"/>
  <c r="T41"/>
  <c r="T38"/>
  <c r="T36"/>
  <c r="T35"/>
  <c r="T42"/>
  <c r="T40"/>
  <c r="U30"/>
  <c r="S30"/>
  <c r="S28"/>
  <c r="U27"/>
  <c r="U26"/>
  <c r="T27"/>
  <c r="T26"/>
  <c r="T44" l="1"/>
  <c r="X8" i="16"/>
  <c r="W8"/>
  <c r="V8"/>
  <c r="U8"/>
  <c r="T8"/>
  <c r="S8"/>
  <c r="R8"/>
  <c r="P8"/>
  <c r="O8"/>
  <c r="N8"/>
  <c r="M8"/>
  <c r="L8"/>
  <c r="K8"/>
  <c r="J8"/>
  <c r="H8"/>
  <c r="G8"/>
  <c r="F8"/>
  <c r="E8"/>
  <c r="AP27" i="6"/>
  <c r="AH37"/>
  <c r="AF37"/>
  <c r="AG36"/>
  <c r="AF35"/>
  <c r="AH33"/>
  <c r="AG33"/>
  <c r="AF33"/>
  <c r="AF34" s="1"/>
  <c r="AH34"/>
  <c r="AG34"/>
  <c r="V22" i="11"/>
  <c r="X22"/>
  <c r="W22"/>
  <c r="AA38" i="6" l="1"/>
  <c r="AA37"/>
  <c r="AA35"/>
  <c r="AA33"/>
  <c r="AA32"/>
  <c r="W35"/>
  <c r="W33"/>
  <c r="W32"/>
  <c r="S35"/>
  <c r="S38" s="1"/>
  <c r="S39" s="1"/>
  <c r="S32"/>
  <c r="S33"/>
  <c r="AA39"/>
  <c r="W38"/>
  <c r="W39" s="1"/>
  <c r="W37"/>
  <c r="S37"/>
  <c r="AA41" l="1"/>
  <c r="W41"/>
  <c r="S41"/>
  <c r="AJ24" l="1"/>
  <c r="AV10"/>
  <c r="AB17"/>
  <c r="AO40" i="15"/>
  <c r="AO39"/>
  <c r="AM40"/>
  <c r="AM39"/>
  <c r="AK40"/>
  <c r="AK39"/>
  <c r="AL41"/>
  <c r="AN41"/>
  <c r="AJ41"/>
  <c r="G28"/>
  <c r="H28"/>
  <c r="F28"/>
  <c r="K28"/>
  <c r="L28"/>
  <c r="J28"/>
  <c r="G26"/>
  <c r="H27"/>
  <c r="H25"/>
  <c r="H26" s="1"/>
  <c r="H24"/>
  <c r="F25"/>
  <c r="F26" s="1"/>
  <c r="F24"/>
  <c r="AS26" i="9"/>
  <c r="AS25"/>
  <c r="AU24"/>
  <c r="AT24"/>
  <c r="AS24"/>
  <c r="AU23"/>
  <c r="AT23"/>
  <c r="AS23"/>
  <c r="W19"/>
  <c r="AM45"/>
  <c r="S49" i="12" l="1"/>
  <c r="S46"/>
  <c r="S43"/>
  <c r="S50"/>
  <c r="S44"/>
  <c r="S48"/>
  <c r="S52" s="1"/>
  <c r="S26"/>
  <c r="W28"/>
  <c r="W25"/>
  <c r="W22"/>
  <c r="W27" s="1"/>
  <c r="W29"/>
  <c r="W23"/>
  <c r="T27"/>
  <c r="R27"/>
  <c r="R25"/>
  <c r="S24"/>
  <c r="S23"/>
  <c r="R24"/>
  <c r="R23"/>
  <c r="W31" l="1"/>
  <c r="U29" i="7" l="1"/>
  <c r="U43"/>
  <c r="U40"/>
  <c r="U38"/>
  <c r="U37"/>
  <c r="U44"/>
  <c r="U42"/>
  <c r="T28"/>
  <c r="F32"/>
  <c r="Q38"/>
  <c r="Q40"/>
  <c r="Q43" s="1"/>
  <c r="Q44" s="1"/>
  <c r="Q37"/>
  <c r="Q42" s="1"/>
  <c r="U46" l="1"/>
  <c r="Q46"/>
  <c r="I18" i="15" l="1"/>
  <c r="I17"/>
  <c r="I16"/>
  <c r="I15"/>
  <c r="H19" l="1"/>
  <c r="H18"/>
  <c r="H17"/>
  <c r="H16"/>
  <c r="H15"/>
  <c r="M49" i="12" l="1"/>
  <c r="M50" s="1"/>
  <c r="M46"/>
  <c r="M44"/>
  <c r="M43"/>
  <c r="M48" s="1"/>
  <c r="E46"/>
  <c r="E49" s="1"/>
  <c r="E50" s="1"/>
  <c r="E44"/>
  <c r="E43"/>
  <c r="L24"/>
  <c r="L22"/>
  <c r="L27"/>
  <c r="L28" s="1"/>
  <c r="L21"/>
  <c r="L26" s="1"/>
  <c r="E27"/>
  <c r="E28" s="1"/>
  <c r="E24"/>
  <c r="E22"/>
  <c r="Q14"/>
  <c r="Q12"/>
  <c r="M32" i="13"/>
  <c r="M31"/>
  <c r="M29"/>
  <c r="M33" s="1"/>
  <c r="M27"/>
  <c r="M26"/>
  <c r="F32"/>
  <c r="F31"/>
  <c r="F29"/>
  <c r="F33" s="1"/>
  <c r="F27"/>
  <c r="F26"/>
  <c r="O26" i="11"/>
  <c r="O27" s="1"/>
  <c r="O23"/>
  <c r="O20"/>
  <c r="O21"/>
  <c r="J26"/>
  <c r="J27" s="1"/>
  <c r="J21"/>
  <c r="H15"/>
  <c r="H14"/>
  <c r="H13"/>
  <c r="J25"/>
  <c r="O40" i="2"/>
  <c r="I39"/>
  <c r="I33"/>
  <c r="I37"/>
  <c r="E21" i="12"/>
  <c r="E26" s="1"/>
  <c r="K71" i="7"/>
  <c r="I69"/>
  <c r="I75" s="1"/>
  <c r="I68"/>
  <c r="I73" s="1"/>
  <c r="I67"/>
  <c r="I74" s="1"/>
  <c r="I66"/>
  <c r="I72" s="1"/>
  <c r="I63"/>
  <c r="I62"/>
  <c r="I61"/>
  <c r="I60"/>
  <c r="I57"/>
  <c r="I56"/>
  <c r="I55"/>
  <c r="I54"/>
  <c r="F30"/>
  <c r="F35"/>
  <c r="F36" s="1"/>
  <c r="F29"/>
  <c r="H61" i="4"/>
  <c r="G61"/>
  <c r="G59"/>
  <c r="G58"/>
  <c r="G57"/>
  <c r="G55"/>
  <c r="G53"/>
  <c r="G52"/>
  <c r="G42"/>
  <c r="G40"/>
  <c r="G35"/>
  <c r="J8" i="14"/>
  <c r="K8"/>
  <c r="L8"/>
  <c r="M8"/>
  <c r="N8"/>
  <c r="O8"/>
  <c r="P8"/>
  <c r="R8"/>
  <c r="S8"/>
  <c r="T8"/>
  <c r="U8"/>
  <c r="V8"/>
  <c r="W8"/>
  <c r="X8"/>
  <c r="E8"/>
  <c r="F8"/>
  <c r="G8"/>
  <c r="D8"/>
  <c r="G44" i="4" l="1"/>
  <c r="H44" s="1"/>
  <c r="M52" i="12"/>
  <c r="E48"/>
  <c r="E52" s="1"/>
  <c r="L30"/>
  <c r="M30" s="1"/>
  <c r="M35" i="13"/>
  <c r="F35"/>
  <c r="O29" i="11"/>
  <c r="J29"/>
  <c r="E30" i="12"/>
  <c r="F30" s="1"/>
  <c r="F34" i="7"/>
  <c r="F38" s="1"/>
  <c r="S9" i="13"/>
  <c r="N9"/>
  <c r="S10"/>
  <c r="N10"/>
  <c r="J9"/>
  <c r="J10" s="1"/>
  <c r="F10"/>
  <c r="F9"/>
  <c r="V14" i="12"/>
  <c r="V15" s="1"/>
  <c r="V13"/>
  <c r="Q15"/>
  <c r="Q13"/>
  <c r="L13"/>
  <c r="G15"/>
  <c r="G14"/>
  <c r="G13"/>
  <c r="G12"/>
  <c r="V23" i="11" l="1"/>
  <c r="V25"/>
  <c r="X25" s="1"/>
  <c r="G38" i="7"/>
  <c r="T30"/>
  <c r="V30" s="1"/>
  <c r="M45" i="1" l="1"/>
  <c r="M44"/>
  <c r="O42"/>
  <c r="N42"/>
  <c r="M42"/>
  <c r="O43"/>
  <c r="N43"/>
  <c r="M43"/>
  <c r="G20"/>
  <c r="AK22" i="9"/>
  <c r="AL19"/>
  <c r="AK19"/>
  <c r="AJ19"/>
  <c r="AJ20" s="1"/>
  <c r="AJ21" s="1"/>
  <c r="AJ22" s="1"/>
  <c r="AL15"/>
  <c r="AP15" s="1"/>
  <c r="AL14"/>
  <c r="AP14" s="1"/>
  <c r="AL13"/>
  <c r="AL12"/>
  <c r="AL11"/>
  <c r="AL10"/>
  <c r="AP10" s="1"/>
  <c r="AL9"/>
  <c r="AK9"/>
  <c r="AK15"/>
  <c r="AO15" s="1"/>
  <c r="AK14"/>
  <c r="AK13"/>
  <c r="AO13" s="1"/>
  <c r="AK12"/>
  <c r="AK11"/>
  <c r="AO11"/>
  <c r="AK10"/>
  <c r="AJ12"/>
  <c r="AJ11"/>
  <c r="AJ10"/>
  <c r="AJ9"/>
  <c r="AN9" s="1"/>
  <c r="AK6"/>
  <c r="AL20"/>
  <c r="AL21" s="1"/>
  <c r="AL22" s="1"/>
  <c r="AK20"/>
  <c r="AK21" s="1"/>
  <c r="AO14"/>
  <c r="AP13"/>
  <c r="AO12"/>
  <c r="AP12"/>
  <c r="AN12"/>
  <c r="AP11"/>
  <c r="AN11"/>
  <c r="AO10"/>
  <c r="AN10"/>
  <c r="AO9"/>
  <c r="AP9"/>
  <c r="F60" i="5"/>
  <c r="G52"/>
  <c r="G53"/>
  <c r="G51"/>
  <c r="G50"/>
  <c r="G49"/>
  <c r="G48"/>
  <c r="G47"/>
  <c r="J52"/>
  <c r="J53"/>
  <c r="F53"/>
  <c r="F52"/>
  <c r="F51"/>
  <c r="J50"/>
  <c r="J51"/>
  <c r="F49"/>
  <c r="F48"/>
  <c r="F47"/>
  <c r="E50"/>
  <c r="E49"/>
  <c r="E48"/>
  <c r="E47"/>
  <c r="G57"/>
  <c r="F57"/>
  <c r="E57"/>
  <c r="F44"/>
  <c r="F58"/>
  <c r="F59" s="1"/>
  <c r="E58"/>
  <c r="E59" s="1"/>
  <c r="E60" s="1"/>
  <c r="K53"/>
  <c r="M76" i="3"/>
  <c r="L76"/>
  <c r="K76"/>
  <c r="M72"/>
  <c r="M71"/>
  <c r="M70"/>
  <c r="M69"/>
  <c r="M68"/>
  <c r="M67"/>
  <c r="M66"/>
  <c r="L72"/>
  <c r="L71"/>
  <c r="L70"/>
  <c r="L69"/>
  <c r="L68"/>
  <c r="L67"/>
  <c r="K69"/>
  <c r="K68"/>
  <c r="K67"/>
  <c r="L66"/>
  <c r="K66"/>
  <c r="L63"/>
  <c r="M77" s="1"/>
  <c r="M78" s="1"/>
  <c r="M79" s="1"/>
  <c r="H41" i="1"/>
  <c r="G41"/>
  <c r="F41"/>
  <c r="G40"/>
  <c r="H40"/>
  <c r="F40"/>
  <c r="G39"/>
  <c r="H39"/>
  <c r="F39"/>
  <c r="H38"/>
  <c r="G38"/>
  <c r="F38"/>
  <c r="L29"/>
  <c r="L30"/>
  <c r="L31"/>
  <c r="L32"/>
  <c r="L33"/>
  <c r="L34"/>
  <c r="K29"/>
  <c r="K30"/>
  <c r="K31"/>
  <c r="K32"/>
  <c r="K33"/>
  <c r="K34"/>
  <c r="L28"/>
  <c r="K28"/>
  <c r="J29"/>
  <c r="J30"/>
  <c r="J31"/>
  <c r="J28"/>
  <c r="H34"/>
  <c r="H33"/>
  <c r="H32"/>
  <c r="H31"/>
  <c r="H30"/>
  <c r="H29"/>
  <c r="H28"/>
  <c r="G34"/>
  <c r="G33"/>
  <c r="G32"/>
  <c r="G31"/>
  <c r="G30"/>
  <c r="G29"/>
  <c r="G28"/>
  <c r="F31"/>
  <c r="F30"/>
  <c r="F29"/>
  <c r="F28"/>
  <c r="G25"/>
  <c r="S40" i="2"/>
  <c r="S38"/>
  <c r="O38"/>
  <c r="I40"/>
  <c r="I38"/>
  <c r="I34"/>
  <c r="I35" s="1"/>
  <c r="I32"/>
  <c r="M29"/>
  <c r="G29"/>
  <c r="M27"/>
  <c r="G27"/>
  <c r="H42"/>
  <c r="L30" i="5"/>
  <c r="L29"/>
  <c r="K34" s="1"/>
  <c r="L32"/>
  <c r="L27"/>
  <c r="L26"/>
  <c r="L25"/>
  <c r="L24"/>
  <c r="N20"/>
  <c r="K20"/>
  <c r="H20"/>
  <c r="N18"/>
  <c r="K18"/>
  <c r="H18"/>
  <c r="Q52" i="3"/>
  <c r="Q48"/>
  <c r="N48"/>
  <c r="Q50"/>
  <c r="Q49"/>
  <c r="N47"/>
  <c r="Q47"/>
  <c r="N49"/>
  <c r="N50"/>
  <c r="I41"/>
  <c r="I40"/>
  <c r="I39"/>
  <c r="I38"/>
  <c r="J35"/>
  <c r="J36"/>
  <c r="J34"/>
  <c r="J33"/>
  <c r="I33"/>
  <c r="I36"/>
  <c r="I35"/>
  <c r="I34"/>
  <c r="AJ5" i="9" l="1"/>
  <c r="AJ28" s="1"/>
  <c r="AJ17"/>
  <c r="AJ26" s="1"/>
  <c r="AL26" s="1"/>
  <c r="G58" i="5"/>
  <c r="G59" s="1"/>
  <c r="G60" s="1"/>
  <c r="E55" s="1"/>
  <c r="E64" s="1"/>
  <c r="G64" s="1"/>
  <c r="I47"/>
  <c r="K47"/>
  <c r="I48"/>
  <c r="K48"/>
  <c r="I49"/>
  <c r="K49"/>
  <c r="I50"/>
  <c r="K50"/>
  <c r="K52"/>
  <c r="J47"/>
  <c r="J48"/>
  <c r="J49"/>
  <c r="K51"/>
  <c r="P66" i="3"/>
  <c r="P67"/>
  <c r="P68"/>
  <c r="P69"/>
  <c r="Q70"/>
  <c r="Q72"/>
  <c r="L77"/>
  <c r="L78" s="1"/>
  <c r="L79" s="1"/>
  <c r="O66"/>
  <c r="Q66"/>
  <c r="O67"/>
  <c r="Q67"/>
  <c r="O68"/>
  <c r="Q68"/>
  <c r="O69"/>
  <c r="Q69"/>
  <c r="Q71"/>
  <c r="K77"/>
  <c r="K78" s="1"/>
  <c r="K79" s="1"/>
  <c r="K74" s="1"/>
  <c r="K83" s="1"/>
  <c r="M83" s="1"/>
  <c r="F36" i="1"/>
  <c r="F45" s="1"/>
  <c r="H45" s="1"/>
  <c r="N52" i="3"/>
  <c r="U15" i="10"/>
  <c r="U14"/>
  <c r="P37" s="1"/>
  <c r="N15"/>
  <c r="I15"/>
  <c r="I14"/>
  <c r="N37" s="1"/>
  <c r="N14"/>
  <c r="O37" s="1"/>
  <c r="D15"/>
  <c r="D14"/>
  <c r="V8"/>
  <c r="R8"/>
  <c r="O8"/>
  <c r="N8"/>
  <c r="J8"/>
  <c r="N16" s="1"/>
  <c r="K8"/>
  <c r="L8"/>
  <c r="M8"/>
  <c r="P8"/>
  <c r="S8"/>
  <c r="T8"/>
  <c r="U8"/>
  <c r="W8"/>
  <c r="X8"/>
  <c r="G8"/>
  <c r="F8"/>
  <c r="E8"/>
  <c r="D8"/>
  <c r="I16" s="1"/>
  <c r="AB74" i="9"/>
  <c r="AC79"/>
  <c r="AC78"/>
  <c r="AC77"/>
  <c r="AC76"/>
  <c r="AC75"/>
  <c r="AB76"/>
  <c r="AB79"/>
  <c r="AB73"/>
  <c r="AB72"/>
  <c r="AB55"/>
  <c r="AB54"/>
  <c r="AB53"/>
  <c r="AB52"/>
  <c r="AB51"/>
  <c r="AB50"/>
  <c r="AB49"/>
  <c r="AC66"/>
  <c r="AC65"/>
  <c r="AC64"/>
  <c r="AC63"/>
  <c r="AC60"/>
  <c r="AB61"/>
  <c r="AB60"/>
  <c r="AB43"/>
  <c r="AB44"/>
  <c r="AB78"/>
  <c r="AB77"/>
  <c r="AB75"/>
  <c r="AC74"/>
  <c r="AC73"/>
  <c r="AC72"/>
  <c r="AC71"/>
  <c r="AC80" s="1"/>
  <c r="AB71"/>
  <c r="AB66"/>
  <c r="AB65"/>
  <c r="AB64"/>
  <c r="AB63"/>
  <c r="AC62"/>
  <c r="AB62"/>
  <c r="AC61"/>
  <c r="AC59"/>
  <c r="AB59"/>
  <c r="AB48"/>
  <c r="AB47"/>
  <c r="AB42"/>
  <c r="AC39"/>
  <c r="AC38"/>
  <c r="AC37"/>
  <c r="AF32"/>
  <c r="AD30"/>
  <c r="AD29"/>
  <c r="AD34" s="1"/>
  <c r="AD28"/>
  <c r="AD33" s="1"/>
  <c r="AD27"/>
  <c r="AD32" s="1"/>
  <c r="X32"/>
  <c r="Q32"/>
  <c r="U79"/>
  <c r="U78"/>
  <c r="U77"/>
  <c r="U76"/>
  <c r="U75"/>
  <c r="T79"/>
  <c r="T76"/>
  <c r="T74"/>
  <c r="T73"/>
  <c r="T72"/>
  <c r="U72"/>
  <c r="U73"/>
  <c r="U74"/>
  <c r="T75"/>
  <c r="T77"/>
  <c r="T78"/>
  <c r="U71"/>
  <c r="T71"/>
  <c r="U66"/>
  <c r="U63"/>
  <c r="U64"/>
  <c r="U62"/>
  <c r="T60"/>
  <c r="U60"/>
  <c r="T61"/>
  <c r="U61"/>
  <c r="T62"/>
  <c r="T63"/>
  <c r="T64"/>
  <c r="T65"/>
  <c r="U65"/>
  <c r="T66"/>
  <c r="U59"/>
  <c r="T59"/>
  <c r="T54"/>
  <c r="T53"/>
  <c r="T52"/>
  <c r="T51"/>
  <c r="T50"/>
  <c r="T49"/>
  <c r="T48"/>
  <c r="T55"/>
  <c r="T47"/>
  <c r="T42"/>
  <c r="T43"/>
  <c r="T44"/>
  <c r="U39"/>
  <c r="U38"/>
  <c r="U37"/>
  <c r="V28"/>
  <c r="V29"/>
  <c r="V30"/>
  <c r="V27"/>
  <c r="U80"/>
  <c r="T80"/>
  <c r="V34"/>
  <c r="V33"/>
  <c r="M71"/>
  <c r="N72"/>
  <c r="N71"/>
  <c r="M74"/>
  <c r="N74"/>
  <c r="M75"/>
  <c r="N75"/>
  <c r="M76"/>
  <c r="N76"/>
  <c r="M77"/>
  <c r="N77"/>
  <c r="M78"/>
  <c r="N78"/>
  <c r="M79"/>
  <c r="N79"/>
  <c r="N73"/>
  <c r="M73"/>
  <c r="M72"/>
  <c r="M80"/>
  <c r="N80"/>
  <c r="N66"/>
  <c r="N62"/>
  <c r="N63"/>
  <c r="N61"/>
  <c r="N64"/>
  <c r="N65"/>
  <c r="N60"/>
  <c r="M62"/>
  <c r="N59"/>
  <c r="M63"/>
  <c r="M64"/>
  <c r="M65"/>
  <c r="M66"/>
  <c r="M61"/>
  <c r="M60"/>
  <c r="M59"/>
  <c r="M52"/>
  <c r="M51"/>
  <c r="M49"/>
  <c r="M50"/>
  <c r="M53"/>
  <c r="M54"/>
  <c r="M55"/>
  <c r="M48"/>
  <c r="M47"/>
  <c r="M44"/>
  <c r="M43"/>
  <c r="M42"/>
  <c r="N38"/>
  <c r="N39"/>
  <c r="N37"/>
  <c r="O28"/>
  <c r="O29"/>
  <c r="O30"/>
  <c r="O27"/>
  <c r="O34"/>
  <c r="O33"/>
  <c r="F76"/>
  <c r="F75"/>
  <c r="F74"/>
  <c r="F73"/>
  <c r="F72"/>
  <c r="F69"/>
  <c r="F70"/>
  <c r="F71"/>
  <c r="F68"/>
  <c r="E77"/>
  <c r="E76"/>
  <c r="E75"/>
  <c r="E74"/>
  <c r="E72"/>
  <c r="E73"/>
  <c r="E71"/>
  <c r="E70"/>
  <c r="E69"/>
  <c r="E68"/>
  <c r="E60"/>
  <c r="E61"/>
  <c r="E62"/>
  <c r="E63"/>
  <c r="E59"/>
  <c r="F63"/>
  <c r="F61"/>
  <c r="F60"/>
  <c r="F59"/>
  <c r="F58"/>
  <c r="F57"/>
  <c r="F62"/>
  <c r="F56"/>
  <c r="E58"/>
  <c r="E57"/>
  <c r="E56"/>
  <c r="E52"/>
  <c r="E51"/>
  <c r="E50"/>
  <c r="E49"/>
  <c r="E48"/>
  <c r="E47"/>
  <c r="E46"/>
  <c r="E45"/>
  <c r="E44"/>
  <c r="E40"/>
  <c r="E41"/>
  <c r="E39"/>
  <c r="U16" i="10" l="1"/>
  <c r="O24"/>
  <c r="P33"/>
  <c r="T33" s="1"/>
  <c r="P31"/>
  <c r="T31" s="1"/>
  <c r="P29"/>
  <c r="T29" s="1"/>
  <c r="P27"/>
  <c r="T27" s="1"/>
  <c r="O32"/>
  <c r="S32" s="1"/>
  <c r="O30"/>
  <c r="S30" s="1"/>
  <c r="O28"/>
  <c r="S28" s="1"/>
  <c r="N29"/>
  <c r="R29" s="1"/>
  <c r="N27"/>
  <c r="R27" s="1"/>
  <c r="P32"/>
  <c r="T32" s="1"/>
  <c r="P30"/>
  <c r="T30" s="1"/>
  <c r="P28"/>
  <c r="T28" s="1"/>
  <c r="O33"/>
  <c r="S33" s="1"/>
  <c r="O31"/>
  <c r="S31" s="1"/>
  <c r="O29"/>
  <c r="S29" s="1"/>
  <c r="O27"/>
  <c r="S27" s="1"/>
  <c r="N30"/>
  <c r="R30" s="1"/>
  <c r="N28"/>
  <c r="R28" s="1"/>
  <c r="O38"/>
  <c r="O39" s="1"/>
  <c r="O40" s="1"/>
  <c r="P38"/>
  <c r="P39" s="1"/>
  <c r="P40" s="1"/>
  <c r="D16"/>
  <c r="N38"/>
  <c r="N39" s="1"/>
  <c r="N40" s="1"/>
  <c r="N35" s="1"/>
  <c r="N44" s="1"/>
  <c r="P44" s="1"/>
  <c r="AJ27" i="9"/>
  <c r="AL27" s="1"/>
  <c r="AM26" s="1"/>
  <c r="AM28" s="1"/>
  <c r="E43" i="5"/>
  <c r="E66" s="1"/>
  <c r="E65" s="1"/>
  <c r="G65" s="1"/>
  <c r="H64" s="1"/>
  <c r="H66" s="1"/>
  <c r="K62" i="3"/>
  <c r="K86" s="1"/>
  <c r="K84" s="1"/>
  <c r="M84" s="1"/>
  <c r="N83" s="1"/>
  <c r="N86" s="1"/>
  <c r="F24" i="1"/>
  <c r="F47" s="1"/>
  <c r="F46" s="1"/>
  <c r="H46" s="1"/>
  <c r="I45" s="1"/>
  <c r="I47" s="1"/>
  <c r="AB80" i="9"/>
  <c r="V32"/>
  <c r="O32"/>
  <c r="F77"/>
  <c r="F36"/>
  <c r="F35"/>
  <c r="F34"/>
  <c r="G31"/>
  <c r="G30"/>
  <c r="G29"/>
  <c r="H27"/>
  <c r="G27"/>
  <c r="G26"/>
  <c r="G25"/>
  <c r="G24"/>
  <c r="N23" i="10" l="1"/>
  <c r="N46" s="1"/>
  <c r="N45" s="1"/>
  <c r="P45" s="1"/>
  <c r="Q44" s="1"/>
  <c r="Q46" s="1"/>
  <c r="L8" i="9"/>
  <c r="L6"/>
  <c r="K6" l="1"/>
  <c r="U22" i="8" l="1"/>
  <c r="P22"/>
  <c r="K22"/>
  <c r="F22"/>
  <c r="U18"/>
  <c r="U17"/>
  <c r="P21"/>
  <c r="P20"/>
  <c r="P19"/>
  <c r="F20"/>
  <c r="F21"/>
  <c r="F19"/>
  <c r="F18"/>
  <c r="F17"/>
  <c r="R14" i="7" l="1"/>
  <c r="R13"/>
  <c r="K19"/>
  <c r="K18"/>
  <c r="E13"/>
  <c r="E12"/>
  <c r="E18"/>
  <c r="E10"/>
  <c r="E9"/>
  <c r="E27" i="6" l="1"/>
  <c r="E26"/>
  <c r="E23"/>
  <c r="E24"/>
  <c r="E21"/>
  <c r="E20"/>
  <c r="J19"/>
  <c r="J18"/>
  <c r="J17"/>
  <c r="AB19"/>
  <c r="E19"/>
  <c r="E18"/>
  <c r="E17"/>
  <c r="AV16"/>
  <c r="AV11"/>
  <c r="AV9"/>
  <c r="AV15"/>
  <c r="AV14"/>
  <c r="E22" l="1"/>
  <c r="AB26" l="1"/>
  <c r="AB25"/>
  <c r="AB23"/>
  <c r="AB22"/>
  <c r="AB20"/>
  <c r="AB18"/>
  <c r="AB16"/>
  <c r="AB21" l="1"/>
  <c r="F11" i="5"/>
  <c r="F10"/>
  <c r="F9"/>
  <c r="F8"/>
  <c r="G14" i="2"/>
  <c r="S19"/>
  <c r="S20" s="1"/>
  <c r="S18"/>
  <c r="R18"/>
  <c r="R20" s="1"/>
  <c r="K18"/>
  <c r="K20" s="1"/>
  <c r="L19" s="1"/>
  <c r="E20"/>
  <c r="E19"/>
  <c r="E18"/>
  <c r="D20"/>
  <c r="D18"/>
  <c r="G18" i="1"/>
  <c r="N29" i="4"/>
  <c r="N28"/>
  <c r="J29"/>
  <c r="J30" s="1"/>
  <c r="J28"/>
  <c r="F29"/>
  <c r="F28"/>
  <c r="F24"/>
  <c r="F23"/>
  <c r="N17"/>
  <c r="N16"/>
  <c r="J17"/>
  <c r="J16"/>
  <c r="F17"/>
  <c r="F16"/>
  <c r="N18"/>
  <c r="F12"/>
  <c r="F11"/>
  <c r="M31" i="3"/>
  <c r="M30"/>
  <c r="M29"/>
  <c r="F10"/>
  <c r="F11"/>
  <c r="F12"/>
  <c r="F13"/>
  <c r="F14"/>
  <c r="F15"/>
  <c r="F16"/>
  <c r="F17"/>
  <c r="I8"/>
  <c r="I9"/>
  <c r="I7"/>
  <c r="I10"/>
  <c r="I11"/>
  <c r="I16"/>
  <c r="I17"/>
  <c r="I18"/>
  <c r="E8"/>
  <c r="E9"/>
  <c r="E7"/>
  <c r="E11"/>
  <c r="E14"/>
  <c r="E15"/>
  <c r="E17"/>
  <c r="Q13"/>
  <c r="Q8"/>
  <c r="Q9"/>
  <c r="Q11"/>
  <c r="Q14"/>
  <c r="Q15"/>
  <c r="Q16"/>
  <c r="Q17"/>
  <c r="W6"/>
  <c r="W13"/>
  <c r="W14"/>
  <c r="W15"/>
  <c r="W16"/>
  <c r="W17"/>
  <c r="V9"/>
  <c r="V18"/>
  <c r="U6"/>
  <c r="U10"/>
  <c r="U14"/>
  <c r="U16"/>
  <c r="U17"/>
  <c r="U18"/>
  <c r="T16"/>
  <c r="T18"/>
  <c r="T17"/>
  <c r="T13"/>
  <c r="T12"/>
  <c r="T6"/>
  <c r="T10"/>
  <c r="L18" i="2" l="1"/>
  <c r="L20" s="1"/>
  <c r="G13"/>
  <c r="N30" i="4"/>
  <c r="F30"/>
  <c r="F25"/>
  <c r="F13"/>
  <c r="J18"/>
  <c r="F18"/>
  <c r="O15" i="3"/>
  <c r="O16"/>
  <c r="O17"/>
  <c r="S9"/>
  <c r="S10"/>
  <c r="S11"/>
  <c r="S14"/>
  <c r="S15"/>
  <c r="S17"/>
  <c r="S16"/>
  <c r="S18"/>
  <c r="R13"/>
  <c r="R18"/>
  <c r="Q7"/>
  <c r="Q10"/>
  <c r="Q12"/>
  <c r="Q18"/>
  <c r="R7"/>
  <c r="R8"/>
  <c r="R9"/>
  <c r="R10"/>
  <c r="R11"/>
  <c r="R12"/>
  <c r="R14"/>
  <c r="R15"/>
  <c r="R16"/>
  <c r="R17"/>
  <c r="S7"/>
  <c r="S8"/>
  <c r="S12"/>
  <c r="S13"/>
  <c r="T7"/>
  <c r="T8"/>
  <c r="T9"/>
  <c r="T11"/>
  <c r="T14"/>
  <c r="T15"/>
  <c r="U7"/>
  <c r="U8"/>
  <c r="U9"/>
  <c r="U11"/>
  <c r="U12"/>
  <c r="U13"/>
  <c r="U15"/>
  <c r="V7"/>
  <c r="V8"/>
  <c r="V10"/>
  <c r="V11"/>
  <c r="V12"/>
  <c r="V13"/>
  <c r="V14"/>
  <c r="V15"/>
  <c r="V16"/>
  <c r="V17"/>
  <c r="W7"/>
  <c r="W8"/>
  <c r="W9"/>
  <c r="W10"/>
  <c r="W11"/>
  <c r="W12"/>
  <c r="W18"/>
  <c r="V6"/>
  <c r="S6"/>
  <c r="R6"/>
  <c r="Q6"/>
  <c r="N9"/>
  <c r="N13"/>
  <c r="N14"/>
  <c r="N15"/>
  <c r="N17"/>
  <c r="G9"/>
  <c r="G11"/>
  <c r="G12"/>
  <c r="G13"/>
  <c r="G17"/>
  <c r="G18"/>
  <c r="M11"/>
  <c r="M15"/>
  <c r="M16"/>
  <c r="M17"/>
  <c r="L10"/>
  <c r="L11"/>
  <c r="L12"/>
  <c r="L16"/>
  <c r="L17"/>
  <c r="L18"/>
  <c r="K12"/>
  <c r="K16"/>
  <c r="K17"/>
  <c r="K18"/>
  <c r="Q20"/>
  <c r="R20"/>
  <c r="S20"/>
  <c r="T20"/>
  <c r="U20"/>
  <c r="V20"/>
  <c r="W20"/>
  <c r="D9"/>
  <c r="D10"/>
  <c r="D11"/>
  <c r="D12"/>
  <c r="D13"/>
  <c r="D14"/>
  <c r="D16"/>
  <c r="D17"/>
  <c r="J17"/>
  <c r="J15"/>
  <c r="J14"/>
  <c r="J13"/>
  <c r="G15" i="2" l="1"/>
  <c r="H14" s="1"/>
  <c r="J16" i="3"/>
  <c r="J12"/>
  <c r="J11"/>
  <c r="J9"/>
  <c r="J10"/>
  <c r="I12"/>
  <c r="I13"/>
  <c r="I14"/>
  <c r="I15"/>
  <c r="J7"/>
  <c r="J8"/>
  <c r="J18"/>
  <c r="K7"/>
  <c r="K8"/>
  <c r="K9"/>
  <c r="K10"/>
  <c r="K11"/>
  <c r="K13"/>
  <c r="K14"/>
  <c r="K15"/>
  <c r="L7"/>
  <c r="L8"/>
  <c r="L9"/>
  <c r="L13"/>
  <c r="L14"/>
  <c r="L15"/>
  <c r="M7"/>
  <c r="M8"/>
  <c r="M9"/>
  <c r="M10"/>
  <c r="M12"/>
  <c r="M13"/>
  <c r="M14"/>
  <c r="M18"/>
  <c r="N7"/>
  <c r="N8"/>
  <c r="N10"/>
  <c r="N11"/>
  <c r="N12"/>
  <c r="N16"/>
  <c r="N18"/>
  <c r="O7"/>
  <c r="O8"/>
  <c r="O9"/>
  <c r="O10"/>
  <c r="O11"/>
  <c r="O12"/>
  <c r="O13"/>
  <c r="O14"/>
  <c r="O18"/>
  <c r="O6"/>
  <c r="N6"/>
  <c r="N20" s="1"/>
  <c r="M6"/>
  <c r="M20" s="1"/>
  <c r="L6"/>
  <c r="L20" s="1"/>
  <c r="K6"/>
  <c r="K20" s="1"/>
  <c r="J6"/>
  <c r="J20" s="1"/>
  <c r="I6"/>
  <c r="I20" s="1"/>
  <c r="G7"/>
  <c r="G8"/>
  <c r="G10"/>
  <c r="G14"/>
  <c r="G15"/>
  <c r="G16"/>
  <c r="G6"/>
  <c r="G20" s="1"/>
  <c r="F7"/>
  <c r="F8"/>
  <c r="F9"/>
  <c r="F18"/>
  <c r="E10"/>
  <c r="E12"/>
  <c r="E13"/>
  <c r="E16"/>
  <c r="E18"/>
  <c r="F6"/>
  <c r="F20" s="1"/>
  <c r="E6"/>
  <c r="D7"/>
  <c r="D8"/>
  <c r="D15"/>
  <c r="D18"/>
  <c r="D6"/>
  <c r="D20" s="1"/>
  <c r="T9" i="2"/>
  <c r="F9"/>
  <c r="H7"/>
  <c r="I7"/>
  <c r="J7"/>
  <c r="K7"/>
  <c r="L9" s="1"/>
  <c r="L7"/>
  <c r="M7"/>
  <c r="N7"/>
  <c r="P7"/>
  <c r="Q7"/>
  <c r="R7"/>
  <c r="S7"/>
  <c r="T7"/>
  <c r="U7"/>
  <c r="V7"/>
  <c r="D7"/>
  <c r="E7"/>
  <c r="F7"/>
  <c r="C7"/>
  <c r="U19" i="1"/>
  <c r="R16"/>
  <c r="S16"/>
  <c r="T16"/>
  <c r="U16"/>
  <c r="V16"/>
  <c r="W16"/>
  <c r="X16"/>
  <c r="M19"/>
  <c r="P16"/>
  <c r="O16"/>
  <c r="N16"/>
  <c r="N7"/>
  <c r="M16"/>
  <c r="M9"/>
  <c r="L16"/>
  <c r="L14"/>
  <c r="L12"/>
  <c r="K16"/>
  <c r="K14"/>
  <c r="J16"/>
  <c r="H14"/>
  <c r="H12"/>
  <c r="H7"/>
  <c r="G14"/>
  <c r="G12"/>
  <c r="G16"/>
  <c r="G7"/>
  <c r="F14"/>
  <c r="F12"/>
  <c r="F7"/>
  <c r="F16" s="1"/>
  <c r="E16"/>
  <c r="E7"/>
  <c r="E6"/>
  <c r="J27" i="2" l="1"/>
  <c r="J29"/>
  <c r="F8"/>
  <c r="G51" s="1"/>
  <c r="H13"/>
  <c r="H15" s="1"/>
  <c r="E20" i="3"/>
  <c r="O20"/>
  <c r="M27" s="1"/>
  <c r="H16" i="1"/>
  <c r="G19" s="1"/>
  <c r="G65" i="2" l="1"/>
  <c r="G66" s="1"/>
  <c r="G67" s="1"/>
  <c r="H60"/>
  <c r="L60" s="1"/>
  <c r="H58"/>
  <c r="L58" s="1"/>
  <c r="H56"/>
  <c r="L56" s="1"/>
  <c r="H54"/>
  <c r="L54" s="1"/>
  <c r="G59"/>
  <c r="G57"/>
  <c r="K57" s="1"/>
  <c r="G55"/>
  <c r="K55" s="1"/>
  <c r="F57"/>
  <c r="J57" s="1"/>
  <c r="F55"/>
  <c r="J55" s="1"/>
  <c r="H65"/>
  <c r="H66" s="1"/>
  <c r="H67" s="1"/>
  <c r="F65"/>
  <c r="F66" s="1"/>
  <c r="F67" s="1"/>
  <c r="F62" s="1"/>
  <c r="F71" s="1"/>
  <c r="H71" s="1"/>
  <c r="H59"/>
  <c r="L59" s="1"/>
  <c r="H57"/>
  <c r="L57" s="1"/>
  <c r="H55"/>
  <c r="L55" s="1"/>
  <c r="G60"/>
  <c r="G58"/>
  <c r="G56"/>
  <c r="K56" s="1"/>
  <c r="G54"/>
  <c r="K54" s="1"/>
  <c r="F56"/>
  <c r="J56" s="1"/>
  <c r="F54"/>
  <c r="J54" s="1"/>
  <c r="O32"/>
  <c r="O34" s="1"/>
  <c r="O35" s="1"/>
  <c r="T32"/>
  <c r="T34" s="1"/>
  <c r="T35" s="1"/>
  <c r="S39" l="1"/>
  <c r="S37"/>
  <c r="S42" s="1"/>
  <c r="F50"/>
  <c r="F73" s="1"/>
  <c r="F72" s="1"/>
  <c r="H72" s="1"/>
  <c r="O39"/>
  <c r="O37"/>
  <c r="N42" s="1"/>
  <c r="I71"/>
  <c r="M71" l="1"/>
  <c r="I73"/>
  <c r="M72" s="1"/>
</calcChain>
</file>

<file path=xl/sharedStrings.xml><?xml version="1.0" encoding="utf-8"?>
<sst xmlns="http://schemas.openxmlformats.org/spreadsheetml/2006/main" count="1985" uniqueCount="592">
  <si>
    <t>Animal category</t>
  </si>
  <si>
    <t>TLU</t>
  </si>
  <si>
    <t>Calf</t>
  </si>
  <si>
    <t>weaned calf</t>
  </si>
  <si>
    <t>heifer</t>
  </si>
  <si>
    <t>cow and ox</t>
  </si>
  <si>
    <t>horse</t>
  </si>
  <si>
    <t>donkey (adult)</t>
  </si>
  <si>
    <t>donkey (young)</t>
  </si>
  <si>
    <t>camel</t>
  </si>
  <si>
    <t>sheep and goat (adult)</t>
  </si>
  <si>
    <t>sheep and goat (young)</t>
  </si>
  <si>
    <t>chicken</t>
  </si>
  <si>
    <t>bekele roba</t>
  </si>
  <si>
    <t>total TLU</t>
  </si>
  <si>
    <t>Jilo Gedecha</t>
  </si>
  <si>
    <t>Jilo Worshe</t>
  </si>
  <si>
    <t>FS</t>
  </si>
  <si>
    <t>Gobana Bori</t>
  </si>
  <si>
    <t>TLU mitjana dels Food secure</t>
  </si>
  <si>
    <t>FOOD SECURE</t>
  </si>
  <si>
    <t>Shanko Jaldo</t>
  </si>
  <si>
    <t>Abebero Gumi</t>
  </si>
  <si>
    <t>Mamiru bare</t>
  </si>
  <si>
    <t>Sarbesa shora</t>
  </si>
  <si>
    <t>masrasha kebede</t>
  </si>
  <si>
    <t>Jebicho roda</t>
  </si>
  <si>
    <t>Shunbur wahelo</t>
  </si>
  <si>
    <t xml:space="preserve"> Moderatly FOOD INSECURE</t>
  </si>
  <si>
    <t>severly FOOD INSECURE</t>
  </si>
  <si>
    <t>Mijo worera</t>
  </si>
  <si>
    <t>shenba gobena</t>
  </si>
  <si>
    <t>Bari Iso</t>
  </si>
  <si>
    <t>Bekele Edema</t>
  </si>
  <si>
    <t>Gunjo Ganburee</t>
  </si>
  <si>
    <t>Lema abichu</t>
  </si>
  <si>
    <t>ayanno halake</t>
  </si>
  <si>
    <t>TLU mitjana dels  Moderatly Food insecure</t>
  </si>
  <si>
    <t>TLU mitjana dels  severly Food insecure</t>
  </si>
  <si>
    <t>land size</t>
  </si>
  <si>
    <t>1 timat = 0,25 ha</t>
  </si>
  <si>
    <t>own land</t>
  </si>
  <si>
    <t>rent</t>
  </si>
  <si>
    <t>total</t>
  </si>
  <si>
    <t>Tamany de la terra mitjana dels Food secure</t>
  </si>
  <si>
    <t>Tamany de la terra  mitjana dels  Moderatly Food insecure</t>
  </si>
  <si>
    <t>Tamany de la terra mitjana  dels  severly Food insecure</t>
  </si>
  <si>
    <t>adult equivalent scale for adjusting the household size</t>
  </si>
  <si>
    <t>Age category</t>
  </si>
  <si>
    <t>male</t>
  </si>
  <si>
    <t>female</t>
  </si>
  <si>
    <t>0-1</t>
  </si>
  <si>
    <t>1.2</t>
  </si>
  <si>
    <t>2.3</t>
  </si>
  <si>
    <t>3.5</t>
  </si>
  <si>
    <t>5.7</t>
  </si>
  <si>
    <t>7.10</t>
  </si>
  <si>
    <t>10.12</t>
  </si>
  <si>
    <t>12.14</t>
  </si>
  <si>
    <t>14.16</t>
  </si>
  <si>
    <t>16.18</t>
  </si>
  <si>
    <t>18.30</t>
  </si>
  <si>
    <t>30.60</t>
  </si>
  <si>
    <t>&gt;60</t>
  </si>
  <si>
    <t>TOTAL</t>
  </si>
  <si>
    <t>GUJI</t>
  </si>
  <si>
    <t>protestant</t>
  </si>
  <si>
    <t>Protestant</t>
  </si>
  <si>
    <t>gedeo</t>
  </si>
  <si>
    <t>ORTODOX</t>
  </si>
  <si>
    <t>MITJANA  Adult Equivalent  POBLACIO GUANGUA</t>
  </si>
  <si>
    <t>Mitana Adult Equivalent  FOOD SECURE</t>
  </si>
  <si>
    <t>Mitana Adult Equivalent  SEVERELY FOOD INSECURE</t>
  </si>
  <si>
    <t>Mitana Adult Equivalent  MODERATLY FOOD INSECURE</t>
  </si>
  <si>
    <t>Etnic group</t>
  </si>
  <si>
    <t>Religion</t>
  </si>
  <si>
    <t>Poblacion total gedeo</t>
  </si>
  <si>
    <t>Poblacion total guji</t>
  </si>
  <si>
    <t>Total</t>
  </si>
  <si>
    <t>Etnic group Respecte poblacio total ( %)</t>
  </si>
  <si>
    <t>Etnic grup Respecte poblacio FOOD SECURE ( %)</t>
  </si>
  <si>
    <t>Etnic group Respecte poblacio MODERATLY FOOD INSECURE ( %)</t>
  </si>
  <si>
    <t>etnic group Respecte poblacio   SEVERELY FOOD INSECURE ( %)</t>
  </si>
  <si>
    <t>RELIGIO Respecte poblacio total ( %)</t>
  </si>
  <si>
    <t>RELIGIO Respecte poblacio FOOD SECURE ( %)</t>
  </si>
  <si>
    <t>RELIGIO  Respecte poblacio MODERATLY FOOD INSECURE ( %)</t>
  </si>
  <si>
    <t>RELIGIO Respecte poblacio   SEVERELY FOOD INSECURE ( %)</t>
  </si>
  <si>
    <t>RELGIO</t>
  </si>
  <si>
    <t>ETNIC GROUP</t>
  </si>
  <si>
    <t>Poblacion total  ORTODOX</t>
  </si>
  <si>
    <t>Poblacion total PROTESTANT</t>
  </si>
  <si>
    <t>TLU Mitmana TOTAL POBLACIO</t>
  </si>
  <si>
    <t>Tamany de la terra mitjana De tota població</t>
  </si>
  <si>
    <t>Food secure</t>
  </si>
  <si>
    <t>Rent</t>
  </si>
  <si>
    <t>%</t>
  </si>
  <si>
    <t>MODERATLY Food Insecure</t>
  </si>
  <si>
    <t>SEVERELY Food Insecure</t>
  </si>
  <si>
    <t>Total terra poblacio guangua</t>
  </si>
  <si>
    <t xml:space="preserve"> Rent land poblacio guangua</t>
  </si>
  <si>
    <t>Own  land poblacio guangua</t>
  </si>
  <si>
    <t>ha</t>
  </si>
  <si>
    <t>NO SE</t>
  </si>
  <si>
    <t>No studies</t>
  </si>
  <si>
    <t>no studies</t>
  </si>
  <si>
    <t>9 grade</t>
  </si>
  <si>
    <t>8 grade</t>
  </si>
  <si>
    <t>Edat mitjana poblacio total</t>
  </si>
  <si>
    <t>Edat mitjana poblacio FS</t>
  </si>
  <si>
    <t>Edat mitjana poblacio SFI</t>
  </si>
  <si>
    <t>Edat mitjana poblacio MFI</t>
  </si>
  <si>
    <t>Apartat D entrevista</t>
  </si>
  <si>
    <t>D.1</t>
  </si>
  <si>
    <t>D.2</t>
  </si>
  <si>
    <t>D.3</t>
  </si>
  <si>
    <t>D.4</t>
  </si>
  <si>
    <t>D.5</t>
  </si>
  <si>
    <t>D.6</t>
  </si>
  <si>
    <t>D.7</t>
  </si>
  <si>
    <t>D.8</t>
  </si>
  <si>
    <t>quantitat</t>
  </si>
  <si>
    <t>Jebicho roda. 3 credits. Un per fill malalt,no retornat(1200) i altre per celebrar meskel</t>
  </si>
  <si>
    <t>abebero gumi/D5. 126,6 Birrs extra en un any./D.4. Llabors i fertilitzant</t>
  </si>
  <si>
    <t>Mamiru bare/D4. per comprar menjar(600) i 300 per weeding café</t>
  </si>
  <si>
    <t>No charge</t>
  </si>
  <si>
    <t>Sarbesa shora/D4. per comprar menjar</t>
  </si>
  <si>
    <t>Masrasha kebede/D.4. per salut del seu fill/D.5. el credit el torna amb café.</t>
  </si>
  <si>
    <t>no charge</t>
  </si>
  <si>
    <t>shanko jaldo/D4. per comprar menjar. Torna credit amb café</t>
  </si>
  <si>
    <t>filles porten menjar</t>
  </si>
  <si>
    <t>%Persones que agafen credit</t>
  </si>
  <si>
    <t>dades interessants MFI</t>
  </si>
  <si>
    <t>Numero credit per persona</t>
  </si>
  <si>
    <t>Quantitat mitja de diners credit</t>
  </si>
  <si>
    <t>% diners credit destinats a Home consumptio</t>
  </si>
  <si>
    <t>% diners credit destinats a Agricultural Inputs</t>
  </si>
  <si>
    <t>% persones que destinen credit Food consumption</t>
  </si>
  <si>
    <t>Origen dels credits</t>
  </si>
  <si>
    <t>% credits FONTS VEINS/ FONTS TOTALS</t>
  </si>
  <si>
    <t>% credits FONTS govenn / FONTS TOTALS</t>
  </si>
  <si>
    <t>% Persones que destinen credit Agricultural inputs</t>
  </si>
  <si>
    <t>high</t>
  </si>
  <si>
    <t>Ayannoo halake/D4. un de 200 per medicines i 200 i 50 per comprar menjar. El de 50 el tornar amb café/D7. diu que no, que per aixo ha demanat credit veins</t>
  </si>
  <si>
    <t>Bari Iso/ D4. 1500 per medicina i 500 per menjar</t>
  </si>
  <si>
    <t>Gunjo Ganburee/D4. per comprar menjar./D7. En el ultim any no, pero al 2000 va rebre 8000 per compensacio terra que se li ha tret. Al 2000 tmb va rebre credit de 2000 de agricultural office</t>
  </si>
  <si>
    <t>Lema abichu/ D1. Va agafar credit al 2000 x valor de 2000 que s'ha anat gastant amb menjar. Te 5 anys per tornalo</t>
  </si>
  <si>
    <t>Shenba gobena/ D4. per dona malalta</t>
  </si>
  <si>
    <t>Mijo worera/D4. el de 3000 per construir casa, el de 500 per school fees i el de 300 per menjar. No ha tornat cap diners credit. Te 7 fills casats i tots l'assiteixen amb menjar</t>
  </si>
  <si>
    <t>dades interessants CREDIT POBLACIO GUANGUA</t>
  </si>
  <si>
    <t>Diners destinats a home consumption</t>
  </si>
  <si>
    <t>Diners destinats a agricultural inputs</t>
  </si>
  <si>
    <t>Diners totals</t>
  </si>
  <si>
    <t>C.1</t>
  </si>
  <si>
    <t>C.2</t>
  </si>
  <si>
    <t>acces to draft power</t>
  </si>
  <si>
    <t>Gollo</t>
  </si>
  <si>
    <t>ell sol, diu que  no necessita pq intercropping i café</t>
  </si>
  <si>
    <t>Ultima vegada,sels ha tingut que vendre,ara nomes un oxen</t>
  </si>
  <si>
    <t>Dades interessants POBLACIO GUANGUA</t>
  </si>
  <si>
    <t>% persones acces draf power</t>
  </si>
  <si>
    <t xml:space="preserve">% persones NO acces </t>
  </si>
  <si>
    <t>Dades interessants FOOD SECURE</t>
  </si>
  <si>
    <t>Font del draft power</t>
  </si>
  <si>
    <t>own animal</t>
  </si>
  <si>
    <t>Font del draft power (%)</t>
  </si>
  <si>
    <t>Dades interessants MODERATLY FOOD INSECURE</t>
  </si>
  <si>
    <t>lifinti</t>
  </si>
  <si>
    <t>Dades interessants SEVERELY FOOD INSECURE</t>
  </si>
  <si>
    <t>H1</t>
  </si>
  <si>
    <t>H2</t>
  </si>
  <si>
    <t>H3</t>
  </si>
  <si>
    <t>H4</t>
  </si>
  <si>
    <t>H5</t>
  </si>
  <si>
    <t>Eddir</t>
  </si>
  <si>
    <t>2 Eddir</t>
  </si>
  <si>
    <t>2 Equb</t>
  </si>
  <si>
    <t>Social group</t>
  </si>
  <si>
    <t>1,2,3</t>
  </si>
  <si>
    <t>Equb</t>
  </si>
  <si>
    <t>No this year because no need</t>
  </si>
  <si>
    <t>Aquest any no ha rebut res</t>
  </si>
  <si>
    <t>Quantity 2001</t>
  </si>
  <si>
    <t>Maradaxa</t>
  </si>
  <si>
    <t xml:space="preserve"> 2  i 3</t>
  </si>
  <si>
    <t>De la maradaxa van matar vaca tots junts</t>
  </si>
  <si>
    <t>Fa 2 anys li van donar 4000 per construir casa,pero li van quedar mil per aquest any</t>
  </si>
  <si>
    <t>Cap servei aquest any</t>
  </si>
  <si>
    <t>Eddir (Pq te dos esposes)</t>
  </si>
  <si>
    <t>Res, nomes si es mor algu</t>
  </si>
  <si>
    <t>Too old</t>
  </si>
  <si>
    <t>very old</t>
  </si>
  <si>
    <t>Dades interessants respecte poblacio TOTAL GUANGUA</t>
  </si>
  <si>
    <t>% Persones que pertanyen a  Eddir</t>
  </si>
  <si>
    <t>% Persones que no pertanyen a RES (Excepte cooperativa)</t>
  </si>
  <si>
    <t>% Persones que pertanyen EQUB</t>
  </si>
  <si>
    <t>% Persones que pertanyen Religio</t>
  </si>
  <si>
    <t>% Persones que pertanyen  OTROS</t>
  </si>
  <si>
    <t>Dades interessants respecte FOOD SECURE</t>
  </si>
  <si>
    <t>Dades interessants respecte MODERALTY FOOD INSECURE</t>
  </si>
  <si>
    <t>Dades interessants respecte SEVERELY FOOD INSECURE</t>
  </si>
  <si>
    <t>% Persones que han rebut diners al 2001</t>
  </si>
  <si>
    <t>El 50% diu que no ha rebut pq no ha necessitat</t>
  </si>
  <si>
    <t>I.1</t>
  </si>
  <si>
    <t>I.2</t>
  </si>
  <si>
    <t>I.3</t>
  </si>
  <si>
    <t>I.4</t>
  </si>
  <si>
    <t>I.5</t>
  </si>
  <si>
    <t>I.6</t>
  </si>
  <si>
    <t>Ingresos totals NO AGRICULTURA</t>
  </si>
  <si>
    <t>Ingresosos totals agricultura</t>
  </si>
  <si>
    <t>Ingresos totals IDDIR,EQUB, Credit veins</t>
  </si>
  <si>
    <t>INGRESOS TOTALS</t>
  </si>
  <si>
    <t>5 i 6</t>
  </si>
  <si>
    <t>Less acces inputs</t>
  </si>
  <si>
    <t>No much problem</t>
  </si>
  <si>
    <t>non food expenditure</t>
  </si>
  <si>
    <t>Social ocasions and institutions</t>
  </si>
  <si>
    <t>no problem</t>
  </si>
  <si>
    <t>Jilo gedecha/I2. Diu que millor que veins</t>
  </si>
  <si>
    <t>Bekele roba/ Premi a millor agricultor del PA.</t>
  </si>
  <si>
    <t>Shortage rain and pest</t>
  </si>
  <si>
    <t>Sell livestock</t>
  </si>
  <si>
    <t>Shortage rain and pests</t>
  </si>
  <si>
    <t>Jilo worshe/ I2. Diu que tot i que declina Millor que veins/ I6. Diu que ho va fer fa dos anys, per aixo a anat tirant</t>
  </si>
  <si>
    <t>56889 (55000 nova casa)</t>
  </si>
  <si>
    <t>41857 ( nova casa)</t>
  </si>
  <si>
    <t>6,7 i8</t>
  </si>
  <si>
    <t>shortage rain and expensive inputs</t>
  </si>
  <si>
    <t>Reduce number meals</t>
  </si>
  <si>
    <t>Daily labor</t>
  </si>
  <si>
    <t>food aid</t>
  </si>
  <si>
    <t>3523 (1500 de medicines)</t>
  </si>
  <si>
    <t>2500 aixo es de credi oficina</t>
  </si>
  <si>
    <t>2,3,4,5</t>
  </si>
  <si>
    <t>shortage rain, government no help and inputs expensive</t>
  </si>
  <si>
    <t>sale firewood</t>
  </si>
  <si>
    <t>Food aid</t>
  </si>
  <si>
    <t>MAMIRU BARE/ I2. Diu que si la pluja es bona,ok pero sino fatal!</t>
  </si>
  <si>
    <t>6,7,8</t>
  </si>
  <si>
    <t>Shortage rain and no inputs</t>
  </si>
  <si>
    <t>4648 (2500 medicines)</t>
  </si>
  <si>
    <t>5,6,7,8</t>
  </si>
  <si>
    <t xml:space="preserve">Sell livestock and </t>
  </si>
  <si>
    <t>sell coffe production before harvest</t>
  </si>
  <si>
    <t>3,4,5,6</t>
  </si>
  <si>
    <t>shortage rain</t>
  </si>
  <si>
    <t>Sell eucaliptus</t>
  </si>
  <si>
    <t>Credit neighbours</t>
  </si>
  <si>
    <t>Sale firewood</t>
  </si>
  <si>
    <t>Shortage rain</t>
  </si>
  <si>
    <t>No inputs</t>
  </si>
  <si>
    <t>shortage land and shortage rain</t>
  </si>
  <si>
    <t>shortage land,no inputs, no culture safe</t>
  </si>
  <si>
    <t>Saving</t>
  </si>
  <si>
    <t>3,4,5,6,7</t>
  </si>
  <si>
    <t>sell firewood</t>
  </si>
  <si>
    <t>Money from relatives</t>
  </si>
  <si>
    <t>2,3,4</t>
  </si>
  <si>
    <t>shortage land, lack labor,</t>
  </si>
  <si>
    <t>reduce number meals</t>
  </si>
  <si>
    <t>3605(3000 per construir casa nova)</t>
  </si>
  <si>
    <t>8134 (5000 per casa i 2700 vaques mortes)</t>
  </si>
  <si>
    <t>shortage rain,no acces inputs,</t>
  </si>
  <si>
    <t>3,4,5,6,7,8,9,</t>
  </si>
  <si>
    <t>shortage land, old, shortage rain</t>
  </si>
  <si>
    <t>reduce meals</t>
  </si>
  <si>
    <t>Help daughters</t>
  </si>
  <si>
    <t>Mitjana ingresos totals No agricultura</t>
  </si>
  <si>
    <t>Mitjana ingresos totals agricultura</t>
  </si>
  <si>
    <t>Mitjana ingresos totals IDDIR,EQUB,credit veins</t>
  </si>
  <si>
    <t>% Ingresos No agricultura/total ingresos</t>
  </si>
  <si>
    <t>% Ingresos Agricultura/ total ingressos</t>
  </si>
  <si>
    <t>% Ingresos COMUNITAT/ total ingressos</t>
  </si>
  <si>
    <t>Mitjana ingressos totals</t>
  </si>
  <si>
    <t>dolars</t>
  </si>
  <si>
    <t>Dades interessants respecte poblacio TOTAL GUANGUA (en birrs)</t>
  </si>
  <si>
    <t>Que pensen sobre els seu ingres de la granja</t>
  </si>
  <si>
    <t>Mes que suficient (%)</t>
  </si>
  <si>
    <t>suficient</t>
  </si>
  <si>
    <t>Menys del que  necessito i disminuint cada vegada mes</t>
  </si>
  <si>
    <t>Shortage rain and coffe desease</t>
  </si>
  <si>
    <t>money from relatives</t>
  </si>
  <si>
    <t>Apats habituals al dia (%)</t>
  </si>
  <si>
    <t>Quins mesos l'escassesat d'aliments es pitjor</t>
  </si>
  <si>
    <t>Febrer</t>
  </si>
  <si>
    <t>Marc</t>
  </si>
  <si>
    <t>Abr.</t>
  </si>
  <si>
    <t>Maig</t>
  </si>
  <si>
    <t>Juny</t>
  </si>
  <si>
    <t>juliol</t>
  </si>
  <si>
    <t xml:space="preserve">agost </t>
  </si>
  <si>
    <t>setembre</t>
  </si>
  <si>
    <t>En la seva opinio, quina son les majors causes de Inseguretat alimentaria</t>
  </si>
  <si>
    <t>Shortage land</t>
  </si>
  <si>
    <t>1a causa</t>
  </si>
  <si>
    <t>2a causa</t>
  </si>
  <si>
    <t xml:space="preserve">shortage rain </t>
  </si>
  <si>
    <t>Pests</t>
  </si>
  <si>
    <t>Goverment</t>
  </si>
  <si>
    <t>Lack labor</t>
  </si>
  <si>
    <t>No commentari</t>
  </si>
  <si>
    <t>Copping strategies in food insecurity</t>
  </si>
  <si>
    <t>Ordre importancia</t>
  </si>
  <si>
    <t>No problem</t>
  </si>
  <si>
    <t>sell livestock</t>
  </si>
  <si>
    <t>Sell firewood</t>
  </si>
  <si>
    <t>Money   or food from relatives</t>
  </si>
  <si>
    <t>No answer</t>
  </si>
  <si>
    <t>sell cofe before harvest</t>
  </si>
  <si>
    <t>Dades interessants respecte MODERATLY FOOD INSECURE</t>
  </si>
  <si>
    <t>% Poblacio participa NON farm activitis</t>
  </si>
  <si>
    <t>% gastos socials/gasto total</t>
  </si>
  <si>
    <t>Mitjana Non food expenditure</t>
  </si>
  <si>
    <t>Mitjana gastos socials</t>
  </si>
  <si>
    <t>Mitjana % de gastos socials respecte gastos totals</t>
  </si>
  <si>
    <t>Desvest FOOD Secure</t>
  </si>
  <si>
    <t>desvest TOTAL</t>
  </si>
  <si>
    <t>Desvest MFI</t>
  </si>
  <si>
    <t>Desvest SFI</t>
  </si>
  <si>
    <t>Coeficient variacio</t>
  </si>
  <si>
    <t>Varianza TOTAL</t>
  </si>
  <si>
    <t>VArianza FS</t>
  </si>
  <si>
    <t>VArianza MFI</t>
  </si>
  <si>
    <t>VArianza SFI</t>
  </si>
  <si>
    <t>M</t>
  </si>
  <si>
    <t>Tamany mostra</t>
  </si>
  <si>
    <t>food secure</t>
  </si>
  <si>
    <t>MFI</t>
  </si>
  <si>
    <t>SFI</t>
  </si>
  <si>
    <t xml:space="preserve">VArianza </t>
  </si>
  <si>
    <t xml:space="preserve">Mitana Adult Equivalent </t>
  </si>
  <si>
    <t>Mitjana FS -Mitjana MFI</t>
  </si>
  <si>
    <t>desviacio combinada (sp)</t>
  </si>
  <si>
    <t>Estadistico t</t>
  </si>
  <si>
    <t>denominador t</t>
  </si>
  <si>
    <t>Significancia</t>
  </si>
  <si>
    <t>Significancia estadistica entre FS I MFI</t>
  </si>
  <si>
    <t>Significancia estadistica entre FS I SFI</t>
  </si>
  <si>
    <t>HO</t>
  </si>
  <si>
    <t>No hi ha diferencia significativa entre les mostres</t>
  </si>
  <si>
    <t>hi ha diferencia significativa entre les mostres</t>
  </si>
  <si>
    <t>desviacio combinada numerador</t>
  </si>
  <si>
    <t>Desviacio combinada denominador</t>
  </si>
  <si>
    <t>Numerador/denominador</t>
  </si>
  <si>
    <t>Desviacio combinada (sp)</t>
  </si>
  <si>
    <t>Estadistic t</t>
  </si>
  <si>
    <t>Media FS- SVI</t>
  </si>
  <si>
    <t>sp</t>
  </si>
  <si>
    <t>RAIZ (1/NI+1/N2)</t>
  </si>
  <si>
    <t>Tamany de la terra mitjana</t>
  </si>
  <si>
    <t>Significancia estadistica entre tamany terra FS I SVI</t>
  </si>
  <si>
    <t>Significancia estadistica entre tamany terra FS I MFI</t>
  </si>
  <si>
    <t>ANALISI VARIANA (ANOVA)</t>
  </si>
  <si>
    <t>tamanyo tierra</t>
  </si>
  <si>
    <t>media aritmetica todos los datos</t>
  </si>
  <si>
    <t>Calculo STC</t>
  </si>
  <si>
    <t>Restamos cada uno de los datos con la media global</t>
  </si>
  <si>
    <t>Elevamos cuadrado las diferencias</t>
  </si>
  <si>
    <t>Calculo STCR</t>
  </si>
  <si>
    <t>Media-media total</t>
  </si>
  <si>
    <t>elevamos cuadrado</t>
  </si>
  <si>
    <t>Mutiplicamos por N</t>
  </si>
  <si>
    <t>TAULA D'ANALISIS VARIANÇA</t>
  </si>
  <si>
    <t>Font de variacio</t>
  </si>
  <si>
    <t>Suma de quadrats</t>
  </si>
  <si>
    <t>Graus llibertat</t>
  </si>
  <si>
    <t>Cuadrados medios</t>
  </si>
  <si>
    <t>Estadistica F</t>
  </si>
  <si>
    <t>tamaño tierra</t>
  </si>
  <si>
    <t>Error</t>
  </si>
  <si>
    <t>Tropical Livestock unit</t>
  </si>
  <si>
    <t>familiy size</t>
  </si>
  <si>
    <t>Family size AE</t>
  </si>
  <si>
    <t xml:space="preserve">Edat mitjana </t>
  </si>
  <si>
    <t>Edat mitjana</t>
  </si>
  <si>
    <t>INGRESSOS TOTALS</t>
  </si>
  <si>
    <t>Ingressos totals</t>
  </si>
  <si>
    <t>Gastos totals</t>
  </si>
  <si>
    <t>gastos totals</t>
  </si>
  <si>
    <t>Estat de les llars</t>
  </si>
  <si>
    <t>FS (N=4)</t>
  </si>
  <si>
    <t>MFI (N=7)</t>
  </si>
  <si>
    <t>SFI (N=7)</t>
  </si>
  <si>
    <t>Family size in AE</t>
  </si>
  <si>
    <t>Mitjana</t>
  </si>
  <si>
    <t>Desviacio</t>
  </si>
  <si>
    <t>p-valor</t>
  </si>
  <si>
    <t>F-valor</t>
  </si>
  <si>
    <t>Age of houshold head</t>
  </si>
  <si>
    <t>Tamany de la terra</t>
  </si>
  <si>
    <t>% poblacio que te  algun animal</t>
  </si>
  <si>
    <t>Beneficari ajuda alimentaria</t>
  </si>
  <si>
    <t xml:space="preserve">si </t>
  </si>
  <si>
    <t>no</t>
  </si>
  <si>
    <t>x</t>
  </si>
  <si>
    <t>3  vegades</t>
  </si>
  <si>
    <t>4vegades</t>
  </si>
  <si>
    <t>3 vegades</t>
  </si>
  <si>
    <t>Quantes vegades</t>
  </si>
  <si>
    <t>% poblacio total rep ajuda alimentaria</t>
  </si>
  <si>
    <t>% poblacio poblacio FS rep ajuda alimentaria</t>
  </si>
  <si>
    <t>% poblacio  MFI rep ajuda alimentaria</t>
  </si>
  <si>
    <t>% poblacio  SFI rep ajuda alimentaria</t>
  </si>
  <si>
    <t>Education level</t>
  </si>
  <si>
    <t>Us de fertilitzants (1= si;2=no)</t>
  </si>
  <si>
    <t>Quantitat</t>
  </si>
  <si>
    <t>Us de llabors millorades(1= si;2=no)</t>
  </si>
  <si>
    <t>Quantitat kemical</t>
  </si>
  <si>
    <t>12,5 kg maize</t>
  </si>
  <si>
    <t>600 birrs</t>
  </si>
  <si>
    <t>265 birrs</t>
  </si>
  <si>
    <t>algun extension service</t>
  </si>
  <si>
    <t>yes</t>
  </si>
  <si>
    <t>Yes</t>
  </si>
  <si>
    <t>no (problema cooperativa i no supply a bon preu)</t>
  </si>
  <si>
    <t>4 grade</t>
  </si>
  <si>
    <t>3 grade</t>
  </si>
  <si>
    <t>1,25kg maize</t>
  </si>
  <si>
    <t>450 birr</t>
  </si>
  <si>
    <t>No  SE</t>
  </si>
  <si>
    <t>3 Grade</t>
  </si>
  <si>
    <t>No</t>
  </si>
  <si>
    <t>50 birr (5 kg)</t>
  </si>
  <si>
    <t>5kg teff</t>
  </si>
  <si>
    <t>200 birrs improved maize</t>
  </si>
  <si>
    <t>% poblacio usa kemical fertilizer</t>
  </si>
  <si>
    <t>% poblacio NO usa kemical fertilizer</t>
  </si>
  <si>
    <t>% poblacio usa improved seeds</t>
  </si>
  <si>
    <t>% poblacio  NO usa improved seeds</t>
  </si>
  <si>
    <t>Dades tota la poblacio</t>
  </si>
  <si>
    <t>Dades poblacio FS</t>
  </si>
  <si>
    <t>Dades poblacio MFI</t>
  </si>
  <si>
    <t>Dades poblacio SFI</t>
  </si>
  <si>
    <t>% Poblacio no studies</t>
  </si>
  <si>
    <t>% poblacio algun estudi</t>
  </si>
  <si>
    <t>dades tota poblacio</t>
  </si>
  <si>
    <t>Scale education</t>
  </si>
  <si>
    <t>dades  poblacio FS</t>
  </si>
  <si>
    <t>dades  poblacio MFI</t>
  </si>
  <si>
    <t>Ingres total</t>
  </si>
  <si>
    <t>Adult equivalent</t>
  </si>
  <si>
    <t>Ingres total/adult equivalent</t>
  </si>
  <si>
    <t>p1</t>
  </si>
  <si>
    <t>p2</t>
  </si>
  <si>
    <t>P</t>
  </si>
  <si>
    <t>Proba hipotesis para dos proporcions poblacionals</t>
  </si>
  <si>
    <t>numerador</t>
  </si>
  <si>
    <t>denominador</t>
  </si>
  <si>
    <t>z</t>
  </si>
  <si>
    <t>Com que Z= 1,21&lt;  Z 0,99=2,33 acceptem hipotesis nula  de que no hi ha diferencies entre les proporcions de guji i gedeo</t>
  </si>
  <si>
    <t>I que per tant es pot concluir que  ser guji no incrementa les possibilitats de ser food secure</t>
  </si>
  <si>
    <t>GRUP ETNIC</t>
  </si>
  <si>
    <t>Com que Z= 1,03&lt;  Z 0,99=2,33 acceptem hipotesis nula  de que no hi ha diferencies entre les proporcions de protestants i ortodoxos</t>
  </si>
  <si>
    <t>I que per tant es pot concluir que  ser protestant no incrementa les possibilitats de ser food secure</t>
  </si>
  <si>
    <t>draft power</t>
  </si>
  <si>
    <t>compracio  entre  FS I SFI</t>
  </si>
  <si>
    <t>Com que Z= 2,746 &gt;  Z 0,99=2,33 RECHAZEM  hipotesis nula  de que no hi ha diferencies entre les proporcions de persones que usen ANIMALS per llaurar i els que no dels FS I SFI</t>
  </si>
  <si>
    <t>I que per tant es pot concluir que  tenir acces a draft power  incrementa les possibilitats de ser food secure</t>
  </si>
  <si>
    <t>TABLA CONTINGENCIA para dos proporcions poblacionals</t>
  </si>
  <si>
    <t>si</t>
  </si>
  <si>
    <t xml:space="preserve">no </t>
  </si>
  <si>
    <t>Uso de draft power</t>
  </si>
  <si>
    <t>Marginal</t>
  </si>
  <si>
    <t>marginal</t>
  </si>
  <si>
    <t>frecuencias relativas marginales</t>
  </si>
  <si>
    <t>P( ser FS)</t>
  </si>
  <si>
    <t>P( ser MFI)</t>
  </si>
  <si>
    <t>p (si uso)</t>
  </si>
  <si>
    <t>P (no uso)</t>
  </si>
  <si>
    <t>frecuencias relativas conjuntas</t>
  </si>
  <si>
    <t>P ( FS I si uso)</t>
  </si>
  <si>
    <t>P ( FS I no uso)</t>
  </si>
  <si>
    <t>P( SFI I  si uso)</t>
  </si>
  <si>
    <t>P( SFI I  NO uso)</t>
  </si>
  <si>
    <t>Frecuencias absolutas teoricas esperadas en caso de independencia</t>
  </si>
  <si>
    <t>E ( FS I si uso)</t>
  </si>
  <si>
    <t>E ( FS I no uso)</t>
  </si>
  <si>
    <t>E ( SFI I  si uso)</t>
  </si>
  <si>
    <t>E ( SFI I  NO uso)</t>
  </si>
  <si>
    <t>VALOR DE CHI- CUADRADO</t>
  </si>
  <si>
    <t xml:space="preserve">FS </t>
  </si>
  <si>
    <t>Religious/literate</t>
  </si>
  <si>
    <t>1--4</t>
  </si>
  <si>
    <t>5--8</t>
  </si>
  <si>
    <t>9--12</t>
  </si>
  <si>
    <t>Hipotesis nula</t>
  </si>
  <si>
    <t>No existen diferencias significativas entre el uso o no de draft power, o bien, que las dos variables estudadas don independientes</t>
  </si>
  <si>
    <t>Significancia estadistica entre tamany terra  MFI i SFI</t>
  </si>
  <si>
    <t>beneficiaris FOOD AID comparacio FS I MFI</t>
  </si>
  <si>
    <t>beneficiaris FOOD AID comparacio MFI I SVI</t>
  </si>
  <si>
    <t>education level comparacio FS I MFI</t>
  </si>
  <si>
    <t>education level comparacio FS I SFI</t>
  </si>
  <si>
    <t>US de fertilitzants comparacio FS I MFI</t>
  </si>
  <si>
    <t>US de fertilitzants comparacio FS I SFI</t>
  </si>
  <si>
    <t>US llabors MILLORADES comparacio FS I MFI</t>
  </si>
  <si>
    <t>café Ocubure 2009 guanyat</t>
  </si>
  <si>
    <t>Café espera guanyar dried</t>
  </si>
  <si>
    <t>enset menjades durant 2001</t>
  </si>
  <si>
    <t>90, pero encara joves</t>
  </si>
  <si>
    <t>numero plantes café</t>
  </si>
  <si>
    <t xml:space="preserve">13-14000 </t>
  </si>
  <si>
    <t>100 joves</t>
  </si>
  <si>
    <t>15 joves</t>
  </si>
  <si>
    <t>5 joves</t>
  </si>
  <si>
    <t>Enset en intercroopping</t>
  </si>
  <si>
    <t>Enset creixent</t>
  </si>
  <si>
    <t>Mitjana Número plantes cafè</t>
  </si>
  <si>
    <t>Mitjana café Ocubure 2009 guanyat</t>
  </si>
  <si>
    <t>Mitjana Café espera guanyar dried</t>
  </si>
  <si>
    <t>Mitjana enset menjades durant 2001 (propi collita)</t>
  </si>
  <si>
    <t>FS (n=4)</t>
  </si>
  <si>
    <t>Reben koxo de la familia</t>
  </si>
  <si>
    <t>Diu que viu dels credits dels veins i de l'ajuda alimentaria.</t>
  </si>
  <si>
    <t>6 timats a la zona agropastoral.Lluny! I diferent terra……</t>
  </si>
  <si>
    <t>Diu que el govern els i treu les terres. Tambe rep food for work i ajuda alimentaria normal.</t>
  </si>
  <si>
    <t>Cada dia ve fill i li porta sopar i esmorzar. Te un nebot pq li fagi companyia</t>
  </si>
  <si>
    <t>Cada semana li porta koxo dos vegades</t>
  </si>
  <si>
    <t>Diu que no hages pogut passar sense el menjar de les seves filles. Te set fills casats!</t>
  </si>
  <si>
    <t>Filles porten koxo dos dies semana</t>
  </si>
  <si>
    <t>MALALT</t>
  </si>
  <si>
    <t>X</t>
  </si>
  <si>
    <t>Viuen junt amb altres familiars. Habitualment es donen aliments</t>
  </si>
  <si>
    <t>z-valor</t>
  </si>
  <si>
    <t>FS(n=4)</t>
  </si>
  <si>
    <t>MFI (n=7)</t>
  </si>
  <si>
    <t xml:space="preserve">% persones accés Oxen </t>
  </si>
  <si>
    <t xml:space="preserve">% persones NO accés </t>
  </si>
  <si>
    <t>compracio  entre  FS I mFI</t>
  </si>
  <si>
    <t>Us de fertilitzants</t>
  </si>
  <si>
    <t>z- valor</t>
  </si>
  <si>
    <t>US llabors MILLORADES comparacio  MFI i sfi</t>
  </si>
  <si>
    <t>Poblacio total (N=70)</t>
  </si>
  <si>
    <t>FS (N=33)</t>
  </si>
  <si>
    <t>MFI (N=31)</t>
  </si>
  <si>
    <t>SFI (N=6)</t>
  </si>
  <si>
    <t>Mitjana ingresos totals Eddir, Ekub, crèdit veins</t>
  </si>
  <si>
    <t>% Ingresos Eddir,Ekub,veins/ total ingressos</t>
  </si>
  <si>
    <t>% població participa Activitats fora agricultura</t>
  </si>
  <si>
    <t>Ingresos totals</t>
  </si>
  <si>
    <t>mitjana</t>
  </si>
  <si>
    <t>desviacio</t>
  </si>
  <si>
    <t>Venta de cafè "red" 2009</t>
  </si>
  <si>
    <t>Espera ingressar en venta en sec</t>
  </si>
  <si>
    <t>Numero plantes café</t>
  </si>
  <si>
    <t>MFI(n=7)</t>
  </si>
  <si>
    <t>SFI(n=7)</t>
  </si>
  <si>
    <t>% Ingresos café /ingressos totals</t>
  </si>
  <si>
    <t>Birrs</t>
  </si>
  <si>
    <t>Persones destinen credit a medicina</t>
  </si>
  <si>
    <t>Persones destinen credit a alimentació</t>
  </si>
  <si>
    <t>Acces a credit comparacio  FS I MFI</t>
  </si>
  <si>
    <t>Acces a credit comparacio  FS I SFI</t>
  </si>
  <si>
    <t>Acces a credit comparacio  MFI I SFI</t>
  </si>
  <si>
    <t>Beneficiari Ajuda alimentaria</t>
  </si>
  <si>
    <t>SI</t>
  </si>
  <si>
    <t>Accés a crèdit</t>
  </si>
  <si>
    <t>Fertil (terra enset-café)</t>
  </si>
  <si>
    <t>Infertil (Agropastorialist)</t>
  </si>
  <si>
    <t>Població Estudis</t>
  </si>
  <si>
    <t>Si</t>
  </si>
  <si>
    <t>z -valor</t>
  </si>
  <si>
    <t>Gedeo</t>
  </si>
  <si>
    <t>Guji</t>
  </si>
  <si>
    <t>Grup ètnic</t>
  </si>
  <si>
    <t>Religió</t>
  </si>
  <si>
    <t>Ortodox</t>
  </si>
  <si>
    <t>religio FS I SFI</t>
  </si>
  <si>
    <t>religio FS I MFI</t>
  </si>
  <si>
    <t>religio MFI I SFI</t>
  </si>
  <si>
    <t>PROBLEMA TERRES</t>
  </si>
  <si>
    <t>Problemes terra</t>
  </si>
  <si>
    <t>Food for work</t>
  </si>
  <si>
    <t>JA LI HAN PAGAT TERRES QUE LI VAN TREURE</t>
  </si>
  <si>
    <t>% Persones que pertanyen  a altres (Gollo,maradaxa,…)</t>
  </si>
  <si>
    <t>% Persones que han rebut diners al 2001 d'aquestes institucions socials</t>
  </si>
  <si>
    <t>Participa Ekub  MFI I SFI</t>
  </si>
  <si>
    <t>Participa Ekub FS I mFI</t>
  </si>
  <si>
    <t>Participa Ekub  FS I SFI</t>
  </si>
  <si>
    <t>Participen  en Ekub</t>
  </si>
  <si>
    <t>Participen  en Religió</t>
  </si>
  <si>
    <t>Participa religio FS I mFI</t>
  </si>
  <si>
    <t>Participa religio FS I SFI</t>
  </si>
  <si>
    <t>Participa religio  MFI I SFI</t>
  </si>
  <si>
    <t>I.S ( Institucions socials)</t>
  </si>
  <si>
    <t>% persones que pertanyen a 1 I.S</t>
  </si>
  <si>
    <t>% persones que pertanyen a 2 I.S</t>
  </si>
  <si>
    <t>% persones que pertanyen a 3 I.S</t>
  </si>
  <si>
    <t>% persones que pertanyen a 4 I.S</t>
  </si>
  <si>
    <t>% persones que pertanyen a + de 5 I.S</t>
  </si>
  <si>
    <t>% persones que pertanyen a 0 I.S (Excepte cooperativa)</t>
  </si>
  <si>
    <t>SFI (n=7)</t>
  </si>
  <si>
    <t>Gastos no alimentació</t>
  </si>
</sst>
</file>

<file path=xl/styles.xml><?xml version="1.0" encoding="utf-8"?>
<styleSheet xmlns="http://schemas.openxmlformats.org/spreadsheetml/2006/main">
  <numFmts count="2">
    <numFmt numFmtId="164" formatCode="0.000"/>
    <numFmt numFmtId="165" formatCode="0.0"/>
  </numFmts>
  <fonts count="4">
    <font>
      <sz val="11"/>
      <color theme="1"/>
      <name val="Calibri"/>
      <family val="2"/>
      <scheme val="minor"/>
    </font>
    <font>
      <b/>
      <sz val="11"/>
      <color theme="1"/>
      <name val="Calibri"/>
      <family val="2"/>
      <scheme val="minor"/>
    </font>
    <font>
      <sz val="11"/>
      <color rgb="FFFF0000"/>
      <name val="Calibri"/>
      <family val="2"/>
      <scheme val="minor"/>
    </font>
    <font>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rgb="FF000000"/>
      </right>
      <top style="medium">
        <color indexed="64"/>
      </top>
      <bottom style="medium">
        <color indexed="64"/>
      </bottom>
      <diagonal/>
    </border>
  </borders>
  <cellStyleXfs count="1">
    <xf numFmtId="0" fontId="0" fillId="0" borderId="0"/>
  </cellStyleXfs>
  <cellXfs count="202">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 xfId="0" applyBorder="1"/>
    <xf numFmtId="0" fontId="0" fillId="2" borderId="0" xfId="0" applyFill="1"/>
    <xf numFmtId="0" fontId="0" fillId="2" borderId="1" xfId="0" applyFill="1" applyBorder="1"/>
    <xf numFmtId="0" fontId="0" fillId="2" borderId="2" xfId="0" applyFill="1" applyBorder="1"/>
    <xf numFmtId="0" fontId="0" fillId="2" borderId="7" xfId="0" applyFill="1" applyBorder="1"/>
    <xf numFmtId="0" fontId="0" fillId="0" borderId="1" xfId="0" applyFill="1" applyBorder="1"/>
    <xf numFmtId="0" fontId="0" fillId="2" borderId="10" xfId="0" applyFill="1" applyBorder="1" applyAlignment="1"/>
    <xf numFmtId="0" fontId="0" fillId="2" borderId="11" xfId="0" applyFill="1" applyBorder="1" applyAlignment="1"/>
    <xf numFmtId="0" fontId="0" fillId="2" borderId="12" xfId="0" applyFill="1" applyBorder="1"/>
    <xf numFmtId="0" fontId="0" fillId="0" borderId="11" xfId="0" applyBorder="1"/>
    <xf numFmtId="0" fontId="0" fillId="0" borderId="12" xfId="0" applyBorder="1"/>
    <xf numFmtId="0" fontId="0" fillId="0" borderId="8" xfId="0" applyFill="1" applyBorder="1"/>
    <xf numFmtId="0" fontId="0" fillId="0" borderId="9" xfId="0" applyFill="1" applyBorder="1"/>
    <xf numFmtId="0" fontId="0" fillId="0" borderId="0" xfId="0" applyBorder="1"/>
    <xf numFmtId="0" fontId="0" fillId="0" borderId="13" xfId="0" applyBorder="1"/>
    <xf numFmtId="16" fontId="0" fillId="0" borderId="3" xfId="0" applyNumberFormat="1" applyBorder="1"/>
    <xf numFmtId="16" fontId="0" fillId="0" borderId="0" xfId="0" applyNumberFormat="1" applyBorder="1"/>
    <xf numFmtId="0" fontId="0" fillId="2" borderId="12" xfId="0" applyFill="1" applyBorder="1" applyAlignment="1">
      <alignment horizontal="center"/>
    </xf>
    <xf numFmtId="0" fontId="0" fillId="2" borderId="12" xfId="0" applyFill="1" applyBorder="1" applyAlignment="1"/>
    <xf numFmtId="0" fontId="0" fillId="2" borderId="5" xfId="0" applyFill="1" applyBorder="1"/>
    <xf numFmtId="0" fontId="0" fillId="2" borderId="6" xfId="0" applyFill="1" applyBorder="1"/>
    <xf numFmtId="0" fontId="0" fillId="2" borderId="10" xfId="0" applyFill="1" applyBorder="1"/>
    <xf numFmtId="0" fontId="0" fillId="2" borderId="11" xfId="0" applyFill="1" applyBorder="1"/>
    <xf numFmtId="0" fontId="0" fillId="2" borderId="8" xfId="0" applyFill="1" applyBorder="1"/>
    <xf numFmtId="0" fontId="0" fillId="2" borderId="9" xfId="0" applyFill="1" applyBorder="1"/>
    <xf numFmtId="0" fontId="0" fillId="0" borderId="14" xfId="0" applyBorder="1"/>
    <xf numFmtId="0" fontId="0" fillId="0" borderId="15" xfId="0" applyBorder="1"/>
    <xf numFmtId="0" fontId="0" fillId="0" borderId="0" xfId="0" applyFill="1" applyBorder="1"/>
    <xf numFmtId="0" fontId="0" fillId="0" borderId="0" xfId="0" applyFill="1" applyBorder="1" applyAlignment="1">
      <alignment horizontal="center"/>
    </xf>
    <xf numFmtId="0" fontId="0" fillId="2" borderId="3" xfId="0" applyFill="1" applyBorder="1"/>
    <xf numFmtId="0" fontId="0" fillId="2" borderId="4" xfId="0" applyFill="1" applyBorder="1"/>
    <xf numFmtId="0" fontId="0" fillId="0" borderId="7" xfId="0" applyFont="1" applyBorder="1"/>
    <xf numFmtId="0" fontId="0" fillId="0" borderId="8" xfId="0" applyFont="1" applyBorder="1"/>
    <xf numFmtId="0" fontId="0" fillId="0" borderId="9" xfId="0" applyFont="1" applyBorder="1"/>
    <xf numFmtId="0" fontId="0" fillId="2" borderId="0" xfId="0" applyFill="1" applyBorder="1"/>
    <xf numFmtId="0" fontId="0" fillId="0" borderId="5" xfId="0" applyFill="1" applyBorder="1"/>
    <xf numFmtId="0" fontId="0" fillId="0" borderId="2" xfId="0" applyFill="1" applyBorder="1"/>
    <xf numFmtId="0" fontId="0" fillId="0" borderId="3" xfId="0" applyFill="1" applyBorder="1"/>
    <xf numFmtId="0" fontId="0" fillId="0" borderId="10" xfId="0" applyFill="1" applyBorder="1"/>
    <xf numFmtId="0" fontId="0" fillId="0" borderId="7" xfId="0" applyFill="1" applyBorder="1"/>
    <xf numFmtId="0" fontId="1" fillId="0" borderId="0" xfId="0" applyFont="1"/>
    <xf numFmtId="0" fontId="1" fillId="2" borderId="0" xfId="0" applyFont="1" applyFill="1" applyBorder="1"/>
    <xf numFmtId="0" fontId="0" fillId="0" borderId="0" xfId="0" applyFont="1" applyFill="1" applyBorder="1"/>
    <xf numFmtId="0" fontId="0" fillId="2" borderId="16" xfId="0" applyFill="1" applyBorder="1"/>
    <xf numFmtId="0" fontId="0" fillId="0" borderId="16" xfId="0" applyFill="1" applyBorder="1"/>
    <xf numFmtId="0" fontId="0" fillId="2" borderId="0" xfId="0" applyFill="1" applyBorder="1" applyAlignment="1">
      <alignment horizontal="center"/>
    </xf>
    <xf numFmtId="0" fontId="0" fillId="2" borderId="1" xfId="0" applyFill="1" applyBorder="1" applyAlignment="1">
      <alignment horizontal="center"/>
    </xf>
    <xf numFmtId="0" fontId="1" fillId="0" borderId="12" xfId="0" applyFont="1" applyFill="1" applyBorder="1"/>
    <xf numFmtId="0" fontId="1" fillId="2" borderId="10" xfId="0" applyFont="1" applyFill="1" applyBorder="1"/>
    <xf numFmtId="0" fontId="1" fillId="2" borderId="1" xfId="0" applyFont="1" applyFill="1" applyBorder="1"/>
    <xf numFmtId="0" fontId="1" fillId="0" borderId="0" xfId="0" applyFont="1" applyFill="1" applyBorder="1"/>
    <xf numFmtId="0" fontId="1" fillId="2" borderId="12" xfId="0" applyFont="1" applyFill="1" applyBorder="1"/>
    <xf numFmtId="0" fontId="1" fillId="2" borderId="2" xfId="0" applyFont="1" applyFill="1" applyBorder="1"/>
    <xf numFmtId="0" fontId="0" fillId="0" borderId="10" xfId="0" applyFill="1" applyBorder="1" applyAlignment="1"/>
    <xf numFmtId="0" fontId="0" fillId="0" borderId="0" xfId="0" applyFill="1" applyBorder="1" applyAlignment="1"/>
    <xf numFmtId="0" fontId="0" fillId="0" borderId="1" xfId="0" applyFill="1" applyBorder="1" applyAlignment="1"/>
    <xf numFmtId="0" fontId="0" fillId="0" borderId="15" xfId="0" applyFill="1" applyBorder="1"/>
    <xf numFmtId="0" fontId="1" fillId="2" borderId="6" xfId="0" applyFont="1" applyFill="1" applyBorder="1"/>
    <xf numFmtId="0" fontId="0" fillId="0" borderId="14" xfId="0" applyFill="1" applyBorder="1"/>
    <xf numFmtId="0" fontId="0" fillId="0" borderId="8" xfId="0" applyBorder="1" applyAlignment="1">
      <alignment horizontal="center"/>
    </xf>
    <xf numFmtId="0" fontId="0" fillId="0" borderId="9" xfId="0" applyBorder="1" applyAlignment="1">
      <alignment horizontal="center"/>
    </xf>
    <xf numFmtId="0" fontId="0" fillId="2" borderId="15" xfId="0" applyFill="1" applyBorder="1"/>
    <xf numFmtId="0" fontId="0" fillId="2" borderId="13" xfId="0" applyFill="1" applyBorder="1"/>
    <xf numFmtId="0" fontId="2" fillId="0" borderId="1" xfId="0" applyFont="1" applyBorder="1"/>
    <xf numFmtId="0" fontId="2" fillId="0" borderId="11" xfId="0" applyFont="1" applyBorder="1"/>
    <xf numFmtId="0" fontId="2" fillId="0" borderId="1" xfId="0" applyFont="1" applyFill="1" applyBorder="1"/>
    <xf numFmtId="0" fontId="0" fillId="2" borderId="0" xfId="0" applyFill="1" applyBorder="1" applyAlignment="1"/>
    <xf numFmtId="0" fontId="0" fillId="0" borderId="3" xfId="0" applyBorder="1" applyAlignment="1">
      <alignment horizontal="left"/>
    </xf>
    <xf numFmtId="16" fontId="0" fillId="0" borderId="3" xfId="0" applyNumberFormat="1" applyBorder="1" applyAlignment="1">
      <alignment horizontal="left"/>
    </xf>
    <xf numFmtId="0" fontId="0" fillId="0" borderId="5" xfId="0" applyBorder="1" applyAlignment="1">
      <alignment horizontal="left"/>
    </xf>
    <xf numFmtId="0" fontId="0" fillId="3" borderId="10" xfId="0" applyFill="1" applyBorder="1"/>
    <xf numFmtId="0" fontId="0" fillId="3" borderId="12" xfId="0" applyFill="1" applyBorder="1"/>
    <xf numFmtId="2" fontId="0" fillId="0" borderId="0" xfId="0" applyNumberFormat="1"/>
    <xf numFmtId="0" fontId="0" fillId="2" borderId="14" xfId="0" applyFill="1" applyBorder="1"/>
    <xf numFmtId="0" fontId="0" fillId="4" borderId="1" xfId="0" applyFont="1" applyFill="1" applyBorder="1"/>
    <xf numFmtId="0" fontId="0" fillId="4" borderId="0" xfId="0" applyFill="1"/>
    <xf numFmtId="2" fontId="0" fillId="0" borderId="10" xfId="0" applyNumberFormat="1" applyBorder="1"/>
    <xf numFmtId="0" fontId="0" fillId="4" borderId="1" xfId="0" applyFill="1" applyBorder="1"/>
    <xf numFmtId="2" fontId="0" fillId="0" borderId="12" xfId="0" applyNumberFormat="1" applyBorder="1"/>
    <xf numFmtId="2" fontId="0" fillId="0" borderId="1" xfId="0" applyNumberFormat="1" applyBorder="1"/>
    <xf numFmtId="165" fontId="0" fillId="0" borderId="0" xfId="0" applyNumberFormat="1" applyFill="1" applyBorder="1"/>
    <xf numFmtId="2" fontId="0" fillId="0" borderId="0" xfId="0" applyNumberFormat="1" applyFill="1" applyBorder="1"/>
    <xf numFmtId="164" fontId="0" fillId="0" borderId="10" xfId="0" applyNumberFormat="1" applyBorder="1"/>
    <xf numFmtId="0" fontId="0" fillId="4" borderId="11" xfId="0" applyFill="1" applyBorder="1"/>
    <xf numFmtId="164" fontId="0" fillId="0" borderId="12" xfId="0" applyNumberFormat="1" applyBorder="1"/>
    <xf numFmtId="0" fontId="0" fillId="2" borderId="2" xfId="0" applyFill="1" applyBorder="1" applyAlignment="1">
      <alignment horizontal="center"/>
    </xf>
    <xf numFmtId="0" fontId="0" fillId="2" borderId="15" xfId="0" applyFill="1" applyBorder="1" applyAlignment="1">
      <alignment horizontal="center"/>
    </xf>
    <xf numFmtId="165" fontId="0" fillId="0" borderId="1" xfId="0" applyNumberFormat="1" applyBorder="1"/>
    <xf numFmtId="165" fontId="0" fillId="0" borderId="11" xfId="0" applyNumberFormat="1" applyBorder="1"/>
    <xf numFmtId="165" fontId="0" fillId="0" borderId="8" xfId="0" applyNumberFormat="1" applyBorder="1"/>
    <xf numFmtId="165" fontId="0" fillId="0" borderId="0" xfId="0" applyNumberFormat="1"/>
    <xf numFmtId="165" fontId="0" fillId="0" borderId="9" xfId="0" applyNumberFormat="1" applyBorder="1"/>
    <xf numFmtId="165" fontId="0" fillId="0" borderId="6" xfId="0" applyNumberFormat="1" applyBorder="1"/>
    <xf numFmtId="165" fontId="0" fillId="0" borderId="1" xfId="0" applyNumberFormat="1" applyFill="1" applyBorder="1"/>
    <xf numFmtId="165" fontId="0" fillId="0" borderId="10" xfId="0" applyNumberFormat="1" applyBorder="1"/>
    <xf numFmtId="2" fontId="0" fillId="0" borderId="10" xfId="0" applyNumberFormat="1" applyBorder="1" applyAlignment="1">
      <alignment horizontal="center"/>
    </xf>
    <xf numFmtId="2" fontId="0" fillId="0" borderId="12" xfId="0" applyNumberFormat="1" applyBorder="1" applyAlignment="1">
      <alignment horizontal="center"/>
    </xf>
    <xf numFmtId="0" fontId="0" fillId="2" borderId="14" xfId="0" applyFill="1" applyBorder="1" applyAlignment="1">
      <alignment horizontal="center"/>
    </xf>
    <xf numFmtId="2" fontId="0" fillId="0" borderId="11" xfId="0" applyNumberFormat="1" applyBorder="1"/>
    <xf numFmtId="2" fontId="0" fillId="0" borderId="0" xfId="0" applyNumberFormat="1" applyBorder="1"/>
    <xf numFmtId="2" fontId="0" fillId="0" borderId="8" xfId="0" applyNumberFormat="1" applyBorder="1"/>
    <xf numFmtId="2" fontId="0" fillId="0" borderId="9" xfId="0" applyNumberFormat="1" applyBorder="1"/>
    <xf numFmtId="2" fontId="0" fillId="0" borderId="15" xfId="0" applyNumberFormat="1" applyBorder="1"/>
    <xf numFmtId="2" fontId="0" fillId="0" borderId="2" xfId="0" applyNumberFormat="1" applyBorder="1"/>
    <xf numFmtId="2" fontId="0" fillId="0" borderId="7" xfId="0" applyNumberFormat="1" applyBorder="1"/>
    <xf numFmtId="2" fontId="0" fillId="0" borderId="5" xfId="0" applyNumberFormat="1" applyBorder="1"/>
    <xf numFmtId="2" fontId="0" fillId="0" borderId="13" xfId="0" applyNumberFormat="1" applyBorder="1"/>
    <xf numFmtId="0" fontId="0" fillId="2" borderId="7" xfId="0" applyFill="1" applyBorder="1" applyAlignment="1">
      <alignment horizontal="center"/>
    </xf>
    <xf numFmtId="2" fontId="0" fillId="0" borderId="10" xfId="0" applyNumberFormat="1" applyBorder="1" applyAlignment="1">
      <alignment horizontal="center"/>
    </xf>
    <xf numFmtId="2" fontId="0" fillId="0" borderId="12" xfId="0" applyNumberFormat="1" applyBorder="1" applyAlignment="1">
      <alignment horizontal="center"/>
    </xf>
    <xf numFmtId="0" fontId="0" fillId="2" borderId="14" xfId="0" applyFill="1" applyBorder="1" applyAlignment="1">
      <alignment horizontal="center"/>
    </xf>
    <xf numFmtId="165" fontId="0" fillId="0" borderId="1" xfId="0" applyNumberFormat="1" applyBorder="1" applyAlignment="1">
      <alignment horizontal="center"/>
    </xf>
    <xf numFmtId="1" fontId="0" fillId="0" borderId="1" xfId="0" applyNumberFormat="1" applyBorder="1" applyAlignment="1">
      <alignment horizontal="center"/>
    </xf>
    <xf numFmtId="165" fontId="0" fillId="0" borderId="12" xfId="0" applyNumberFormat="1" applyBorder="1" applyAlignment="1">
      <alignment horizontal="center"/>
    </xf>
    <xf numFmtId="165" fontId="0" fillId="0" borderId="9" xfId="0" applyNumberFormat="1" applyBorder="1" applyAlignment="1">
      <alignment horizontal="center"/>
    </xf>
    <xf numFmtId="1" fontId="0" fillId="0" borderId="9" xfId="0" applyNumberFormat="1" applyBorder="1" applyAlignment="1">
      <alignment horizontal="center"/>
    </xf>
    <xf numFmtId="2" fontId="0" fillId="4" borderId="1" xfId="0" applyNumberFormat="1" applyFill="1" applyBorder="1" applyAlignment="1">
      <alignment horizontal="center"/>
    </xf>
    <xf numFmtId="2" fontId="0" fillId="4" borderId="0" xfId="0" applyNumberFormat="1" applyFill="1" applyAlignment="1">
      <alignment horizontal="center"/>
    </xf>
    <xf numFmtId="2" fontId="0" fillId="4" borderId="11" xfId="0" applyNumberFormat="1" applyFill="1" applyBorder="1" applyAlignment="1">
      <alignment horizontal="center"/>
    </xf>
    <xf numFmtId="11" fontId="0" fillId="0" borderId="10" xfId="0" applyNumberFormat="1" applyBorder="1" applyAlignment="1"/>
    <xf numFmtId="11" fontId="0" fillId="0" borderId="12" xfId="0" applyNumberFormat="1" applyBorder="1" applyAlignment="1"/>
    <xf numFmtId="2" fontId="0" fillId="4" borderId="12" xfId="0" applyNumberFormat="1" applyFill="1" applyBorder="1" applyAlignment="1"/>
    <xf numFmtId="11" fontId="0" fillId="4" borderId="10" xfId="0" applyNumberFormat="1" applyFill="1" applyBorder="1" applyAlignment="1"/>
    <xf numFmtId="11" fontId="0" fillId="4" borderId="1" xfId="0" applyNumberFormat="1" applyFill="1" applyBorder="1" applyAlignment="1"/>
    <xf numFmtId="1" fontId="0" fillId="0" borderId="12" xfId="0" applyNumberFormat="1" applyBorder="1" applyAlignment="1">
      <alignment horizontal="center"/>
    </xf>
    <xf numFmtId="2" fontId="0" fillId="0" borderId="14" xfId="0" applyNumberFormat="1" applyBorder="1"/>
    <xf numFmtId="1" fontId="0" fillId="0" borderId="0" xfId="0" applyNumberFormat="1"/>
    <xf numFmtId="0" fontId="3" fillId="2" borderId="12" xfId="0" applyFont="1" applyFill="1" applyBorder="1"/>
    <xf numFmtId="0" fontId="3" fillId="2" borderId="15" xfId="0" applyFont="1" applyFill="1" applyBorder="1"/>
    <xf numFmtId="0" fontId="3" fillId="2" borderId="7" xfId="0" applyFont="1" applyFill="1" applyBorder="1"/>
    <xf numFmtId="0" fontId="3" fillId="2" borderId="14" xfId="0" applyFont="1" applyFill="1" applyBorder="1"/>
    <xf numFmtId="0" fontId="3" fillId="0" borderId="5" xfId="0" applyFont="1" applyBorder="1"/>
    <xf numFmtId="0" fontId="3" fillId="0" borderId="11" xfId="0" applyFont="1" applyBorder="1" applyAlignment="1">
      <alignment horizontal="right"/>
    </xf>
    <xf numFmtId="0" fontId="3" fillId="0" borderId="1"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9" xfId="0" applyFont="1" applyBorder="1" applyAlignment="1">
      <alignment horizontal="right"/>
    </xf>
    <xf numFmtId="0" fontId="3" fillId="0" borderId="6" xfId="0" applyFont="1" applyBorder="1" applyAlignment="1">
      <alignment horizontal="right"/>
    </xf>
    <xf numFmtId="0" fontId="3" fillId="0" borderId="0" xfId="0" applyFont="1" applyAlignment="1">
      <alignment horizontal="right"/>
    </xf>
    <xf numFmtId="0" fontId="3" fillId="0" borderId="8" xfId="0" applyFont="1" applyBorder="1" applyAlignment="1">
      <alignment horizontal="right"/>
    </xf>
    <xf numFmtId="0" fontId="3" fillId="0" borderId="4" xfId="0" applyFont="1" applyBorder="1" applyAlignment="1">
      <alignment horizontal="right"/>
    </xf>
    <xf numFmtId="0" fontId="3" fillId="0" borderId="13" xfId="0" applyFont="1" applyBorder="1"/>
    <xf numFmtId="0" fontId="3" fillId="0" borderId="6" xfId="0" applyFont="1" applyBorder="1"/>
    <xf numFmtId="2" fontId="3" fillId="0" borderId="1" xfId="0" applyNumberFormat="1" applyFont="1" applyBorder="1" applyAlignment="1">
      <alignment horizontal="right"/>
    </xf>
    <xf numFmtId="164" fontId="0" fillId="0" borderId="11" xfId="0" applyNumberFormat="1" applyBorder="1" applyAlignment="1">
      <alignment horizontal="center"/>
    </xf>
    <xf numFmtId="164" fontId="0" fillId="0" borderId="12" xfId="0" applyNumberFormat="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Fill="1" applyBorder="1" applyAlignment="1">
      <alignment horizontal="center"/>
    </xf>
    <xf numFmtId="0" fontId="0" fillId="2" borderId="3" xfId="0" applyFill="1" applyBorder="1" applyAlignment="1">
      <alignment horizontal="center"/>
    </xf>
    <xf numFmtId="0" fontId="0" fillId="2" borderId="0" xfId="0" applyFill="1" applyBorder="1" applyAlignment="1">
      <alignment horizontal="center"/>
    </xf>
    <xf numFmtId="0" fontId="0" fillId="2" borderId="6" xfId="0" applyFill="1" applyBorder="1" applyAlignment="1">
      <alignment horizontal="center"/>
    </xf>
    <xf numFmtId="2" fontId="0" fillId="0" borderId="10" xfId="0" applyNumberFormat="1" applyBorder="1" applyAlignment="1">
      <alignment horizontal="center"/>
    </xf>
    <xf numFmtId="2" fontId="0" fillId="0" borderId="12" xfId="0" applyNumberFormat="1" applyBorder="1" applyAlignment="1">
      <alignment horizontal="center"/>
    </xf>
    <xf numFmtId="1" fontId="0" fillId="0" borderId="2" xfId="0" applyNumberFormat="1" applyBorder="1" applyAlignment="1">
      <alignment horizontal="center"/>
    </xf>
    <xf numFmtId="1" fontId="0" fillId="0" borderId="14" xfId="0" applyNumberFormat="1" applyBorder="1" applyAlignment="1">
      <alignment horizontal="center"/>
    </xf>
    <xf numFmtId="2" fontId="0" fillId="0" borderId="2" xfId="0" applyNumberFormat="1" applyBorder="1" applyAlignment="1">
      <alignment horizontal="center"/>
    </xf>
    <xf numFmtId="2" fontId="0" fillId="0" borderId="14" xfId="0" applyNumberFormat="1"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0" xfId="0" applyFont="1" applyFill="1" applyBorder="1" applyAlignment="1">
      <alignment horizontal="center"/>
    </xf>
    <xf numFmtId="2" fontId="0" fillId="0" borderId="0" xfId="0" applyNumberFormat="1"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3" fillId="0" borderId="10" xfId="0" applyFont="1" applyBorder="1"/>
    <xf numFmtId="0" fontId="3" fillId="0" borderId="11" xfId="0" applyFont="1" applyBorder="1"/>
    <xf numFmtId="0" fontId="3" fillId="0" borderId="17" xfId="0" applyFont="1" applyBorder="1"/>
    <xf numFmtId="0" fontId="3" fillId="2" borderId="10" xfId="0" applyFont="1" applyFill="1" applyBorder="1"/>
    <xf numFmtId="0" fontId="3" fillId="2" borderId="11" xfId="0" applyFont="1" applyFill="1" applyBorder="1"/>
    <xf numFmtId="0" fontId="0" fillId="0" borderId="3" xfId="0" applyBorder="1" applyAlignment="1">
      <alignment horizontal="center"/>
    </xf>
    <xf numFmtId="0" fontId="0" fillId="0" borderId="4" xfId="0" applyBorder="1" applyAlignment="1">
      <alignment horizontal="center"/>
    </xf>
    <xf numFmtId="0" fontId="0" fillId="2" borderId="5" xfId="0" applyFill="1" applyBorder="1" applyAlignment="1">
      <alignment horizontal="center"/>
    </xf>
    <xf numFmtId="0" fontId="0" fillId="2" borderId="11" xfId="0" applyFont="1" applyFill="1" applyBorder="1" applyAlignment="1">
      <alignment horizontal="center"/>
    </xf>
    <xf numFmtId="0" fontId="0" fillId="2" borderId="12" xfId="0" applyFont="1" applyFill="1" applyBorder="1" applyAlignment="1">
      <alignment horizontal="center"/>
    </xf>
    <xf numFmtId="2" fontId="0" fillId="0" borderId="11" xfId="0" applyNumberFormat="1" applyBorder="1" applyAlignment="1">
      <alignment horizontal="center"/>
    </xf>
    <xf numFmtId="11" fontId="0" fillId="0" borderId="10" xfId="0" applyNumberFormat="1" applyBorder="1" applyAlignment="1">
      <alignment horizontal="center"/>
    </xf>
    <xf numFmtId="11" fontId="0" fillId="0" borderId="11" xfId="0" applyNumberFormat="1" applyBorder="1" applyAlignment="1">
      <alignment horizontal="center"/>
    </xf>
    <xf numFmtId="11" fontId="0" fillId="0" borderId="12" xfId="0" applyNumberFormat="1" applyBorder="1" applyAlignment="1">
      <alignment horizontal="center"/>
    </xf>
    <xf numFmtId="0" fontId="0" fillId="2" borderId="2" xfId="0" applyFill="1" applyBorder="1" applyAlignment="1">
      <alignment horizontal="center"/>
    </xf>
    <xf numFmtId="0" fontId="0" fillId="2" borderId="15" xfId="0" applyFill="1" applyBorder="1" applyAlignment="1">
      <alignment horizontal="center"/>
    </xf>
    <xf numFmtId="0" fontId="0" fillId="2" borderId="14" xfId="0" applyFill="1" applyBorder="1" applyAlignment="1">
      <alignment horizontal="center"/>
    </xf>
    <xf numFmtId="164" fontId="0" fillId="0" borderId="2" xfId="0" applyNumberFormat="1" applyBorder="1" applyAlignment="1">
      <alignment horizontal="center"/>
    </xf>
    <xf numFmtId="164" fontId="0" fillId="0" borderId="14" xfId="0" applyNumberFormat="1" applyBorder="1" applyAlignment="1">
      <alignment horizontal="center"/>
    </xf>
    <xf numFmtId="164" fontId="0" fillId="0" borderId="10" xfId="0" applyNumberForma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4</xdr:col>
      <xdr:colOff>0</xdr:colOff>
      <xdr:row>48</xdr:row>
      <xdr:rowOff>0</xdr:rowOff>
    </xdr:from>
    <xdr:ext cx="7718716" cy="781240"/>
    <xdr:sp macro="" textlink="">
      <xdr:nvSpPr>
        <xdr:cNvPr id="2" name="1 CuadroTexto"/>
        <xdr:cNvSpPr txBox="1"/>
      </xdr:nvSpPr>
      <xdr:spPr>
        <a:xfrm>
          <a:off x="3752850" y="9458325"/>
          <a:ext cx="7718716" cy="7812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b="1"/>
            <a:t>amb</a:t>
          </a:r>
          <a:r>
            <a:rPr lang="es-ES" sz="1100" b="1" baseline="0"/>
            <a:t> una confiança  del 99% (p&lt;0,01) tenim una gran evidencia mostral per RECHAZAR la hipotesis nula </a:t>
          </a:r>
        </a:p>
        <a:p>
          <a:r>
            <a:rPr lang="es-ES" sz="1100" b="1" baseline="0"/>
            <a:t>de que no hi ha diferencia estadisticament significatives entre  el  tropical livestock unit del FOOD SECURE, ELS MFI i els  Severely</a:t>
          </a:r>
        </a:p>
        <a:p>
          <a:r>
            <a:rPr lang="es-ES" sz="1100" b="1" baseline="0"/>
            <a:t>food  insecure. Per tant hi ha diferencies significatives entre  els TLU </a:t>
          </a:r>
        </a:p>
        <a:p>
          <a:r>
            <a:rPr lang="es-ES" sz="1100" b="1" baseline="0"/>
            <a:t>d'aquestes TRES poblacions</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0</xdr:colOff>
      <xdr:row>31</xdr:row>
      <xdr:rowOff>0</xdr:rowOff>
    </xdr:from>
    <xdr:ext cx="4676774" cy="781240"/>
    <xdr:sp macro="" textlink="">
      <xdr:nvSpPr>
        <xdr:cNvPr id="2" name="1 CuadroTexto"/>
        <xdr:cNvSpPr txBox="1"/>
      </xdr:nvSpPr>
      <xdr:spPr>
        <a:xfrm>
          <a:off x="2600325" y="6000750"/>
          <a:ext cx="4676774" cy="78124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b="1" i="0" u="none" strike="noStrike">
              <a:solidFill>
                <a:schemeClr val="tx1"/>
              </a:solidFill>
              <a:latin typeface="+mn-lt"/>
              <a:ea typeface="+mn-ea"/>
              <a:cs typeface="+mn-cs"/>
            </a:rPr>
            <a:t>Com que Z= 1,8446</a:t>
          </a:r>
          <a:r>
            <a:rPr lang="es-ES" sz="1100" b="1" i="0" u="none" strike="noStrike" baseline="0">
              <a:solidFill>
                <a:schemeClr val="tx1"/>
              </a:solidFill>
              <a:latin typeface="+mn-lt"/>
              <a:ea typeface="+mn-ea"/>
              <a:cs typeface="+mn-cs"/>
            </a:rPr>
            <a:t> &lt;</a:t>
          </a:r>
          <a:r>
            <a:rPr lang="es-ES" sz="1100" b="1" i="0" u="none" strike="noStrike">
              <a:solidFill>
                <a:schemeClr val="tx1"/>
              </a:solidFill>
              <a:latin typeface="+mn-lt"/>
              <a:ea typeface="+mn-ea"/>
              <a:cs typeface="+mn-cs"/>
            </a:rPr>
            <a:t>  Z 0,99=2,33 ACCEPTEM  hipotesis nula  de que no hi ha diferencies entre les proporcions de persones que usen fERTILITZANTS i els que no dels FS I MFI</a:t>
          </a:r>
          <a:r>
            <a:rPr lang="es-ES" b="1"/>
            <a:t>  </a:t>
          </a:r>
          <a:r>
            <a:rPr lang="es-ES" sz="1100" b="1" i="0" u="none" strike="noStrike">
              <a:solidFill>
                <a:schemeClr val="tx1"/>
              </a:solidFill>
              <a:latin typeface="+mn-lt"/>
              <a:ea typeface="+mn-ea"/>
              <a:cs typeface="+mn-cs"/>
            </a:rPr>
            <a:t>I que per tant es pot concluir que  utilitza fertilitzant   NO</a:t>
          </a:r>
          <a:r>
            <a:rPr lang="es-ES" sz="1100" b="1" i="0" u="none" strike="noStrike" baseline="0">
              <a:solidFill>
                <a:schemeClr val="tx1"/>
              </a:solidFill>
              <a:latin typeface="+mn-lt"/>
              <a:ea typeface="+mn-ea"/>
              <a:cs typeface="+mn-cs"/>
            </a:rPr>
            <a:t> </a:t>
          </a:r>
          <a:r>
            <a:rPr lang="es-ES" sz="1100" b="1" i="0" u="none" strike="noStrike">
              <a:solidFill>
                <a:schemeClr val="tx1"/>
              </a:solidFill>
              <a:latin typeface="+mn-lt"/>
              <a:ea typeface="+mn-ea"/>
              <a:cs typeface="+mn-cs"/>
            </a:rPr>
            <a:t>incrementa les possibilitats de ser food secure</a:t>
          </a:r>
          <a:r>
            <a:rPr lang="es-ES" b="1"/>
            <a:t> </a:t>
          </a:r>
          <a:endParaRPr lang="es-ES" sz="1100" b="1"/>
        </a:p>
      </xdr:txBody>
    </xdr:sp>
    <xdr:clientData/>
  </xdr:oneCellAnchor>
  <xdr:oneCellAnchor>
    <xdr:from>
      <xdr:col>8</xdr:col>
      <xdr:colOff>466725</xdr:colOff>
      <xdr:row>30</xdr:row>
      <xdr:rowOff>142875</xdr:rowOff>
    </xdr:from>
    <xdr:ext cx="4676774" cy="781240"/>
    <xdr:sp macro="" textlink="">
      <xdr:nvSpPr>
        <xdr:cNvPr id="3" name="2 CuadroTexto"/>
        <xdr:cNvSpPr txBox="1"/>
      </xdr:nvSpPr>
      <xdr:spPr>
        <a:xfrm>
          <a:off x="7639050" y="5953125"/>
          <a:ext cx="4676774" cy="78124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b="1" i="0" u="none" strike="noStrike">
              <a:solidFill>
                <a:schemeClr val="tx1"/>
              </a:solidFill>
              <a:latin typeface="+mn-lt"/>
              <a:ea typeface="+mn-ea"/>
              <a:cs typeface="+mn-cs"/>
            </a:rPr>
            <a:t>Com que Z= 2,5354&gt;  Z 0,99=2,33 RECHAZEM  hipotesis nula  de que no hi ha diferencies entre les proporcions de persones que usen fERTILITZANTS i els que no dels FS I SFI</a:t>
          </a:r>
          <a:r>
            <a:rPr lang="es-ES" b="1"/>
            <a:t>  </a:t>
          </a:r>
          <a:r>
            <a:rPr lang="es-ES" sz="1100" b="1" i="0" u="none" strike="noStrike">
              <a:solidFill>
                <a:schemeClr val="tx1"/>
              </a:solidFill>
              <a:latin typeface="+mn-lt"/>
              <a:ea typeface="+mn-ea"/>
              <a:cs typeface="+mn-cs"/>
            </a:rPr>
            <a:t>I que per tant es pot concluir que  utilitza fertilitzant  incrementa les possibilitats de ser food secure</a:t>
          </a:r>
          <a:r>
            <a:rPr lang="es-ES" b="1"/>
            <a:t> </a:t>
          </a:r>
          <a:endParaRPr lang="es-ES" sz="1100" b="1"/>
        </a:p>
      </xdr:txBody>
    </xdr:sp>
    <xdr:clientData/>
  </xdr:oneCellAnchor>
  <xdr:oneCellAnchor>
    <xdr:from>
      <xdr:col>2</xdr:col>
      <xdr:colOff>0</xdr:colOff>
      <xdr:row>53</xdr:row>
      <xdr:rowOff>0</xdr:rowOff>
    </xdr:from>
    <xdr:ext cx="4676774" cy="953466"/>
    <xdr:sp macro="" textlink="">
      <xdr:nvSpPr>
        <xdr:cNvPr id="4" name="3 CuadroTexto"/>
        <xdr:cNvSpPr txBox="1"/>
      </xdr:nvSpPr>
      <xdr:spPr>
        <a:xfrm>
          <a:off x="2600325" y="10229850"/>
          <a:ext cx="4676774" cy="9534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b="1" i="0" u="none" strike="noStrike">
              <a:solidFill>
                <a:schemeClr val="tx1"/>
              </a:solidFill>
              <a:latin typeface="+mn-lt"/>
              <a:ea typeface="+mn-ea"/>
              <a:cs typeface="+mn-cs"/>
            </a:rPr>
            <a:t>Com que Z= 1,29099</a:t>
          </a:r>
          <a:r>
            <a:rPr lang="es-ES" sz="1100" b="1" i="0" u="none" strike="noStrike" baseline="0">
              <a:solidFill>
                <a:schemeClr val="tx1"/>
              </a:solidFill>
              <a:latin typeface="+mn-lt"/>
              <a:ea typeface="+mn-ea"/>
              <a:cs typeface="+mn-cs"/>
            </a:rPr>
            <a:t> &lt;</a:t>
          </a:r>
          <a:r>
            <a:rPr lang="es-ES" sz="1100" b="1" i="0" u="none" strike="noStrike">
              <a:solidFill>
                <a:schemeClr val="tx1"/>
              </a:solidFill>
              <a:latin typeface="+mn-lt"/>
              <a:ea typeface="+mn-ea"/>
              <a:cs typeface="+mn-cs"/>
            </a:rPr>
            <a:t>  Z 0,99=2,33 ACCEPTEM  hipotesis nula  de que no hi ha diferencies entre les proporcions de persones que usen LLABORS</a:t>
          </a:r>
          <a:r>
            <a:rPr lang="es-ES" sz="1100" b="1" i="0" u="none" strike="noStrike" baseline="0">
              <a:solidFill>
                <a:schemeClr val="tx1"/>
              </a:solidFill>
              <a:latin typeface="+mn-lt"/>
              <a:ea typeface="+mn-ea"/>
              <a:cs typeface="+mn-cs"/>
            </a:rPr>
            <a:t> MILLORADES</a:t>
          </a:r>
          <a:r>
            <a:rPr lang="es-ES" sz="1100" b="1" i="0" u="none" strike="noStrike">
              <a:solidFill>
                <a:schemeClr val="tx1"/>
              </a:solidFill>
              <a:latin typeface="+mn-lt"/>
              <a:ea typeface="+mn-ea"/>
              <a:cs typeface="+mn-cs"/>
            </a:rPr>
            <a:t> i els que no dels FS I MFI</a:t>
          </a:r>
          <a:r>
            <a:rPr lang="es-ES" b="1"/>
            <a:t>  </a:t>
          </a:r>
          <a:r>
            <a:rPr lang="es-ES" sz="1100" b="1" i="0" u="none" strike="noStrike">
              <a:solidFill>
                <a:schemeClr val="tx1"/>
              </a:solidFill>
              <a:latin typeface="+mn-lt"/>
              <a:ea typeface="+mn-ea"/>
              <a:cs typeface="+mn-cs"/>
            </a:rPr>
            <a:t>I que per tant es pot concluir que  utilitza LLABORS</a:t>
          </a:r>
          <a:r>
            <a:rPr lang="es-ES" sz="1100" b="1" i="0" u="none" strike="noStrike" baseline="0">
              <a:solidFill>
                <a:schemeClr val="tx1"/>
              </a:solidFill>
              <a:latin typeface="+mn-lt"/>
              <a:ea typeface="+mn-ea"/>
              <a:cs typeface="+mn-cs"/>
            </a:rPr>
            <a:t> MILLORADES</a:t>
          </a:r>
          <a:r>
            <a:rPr lang="es-ES" sz="1100" b="1" i="0" u="none" strike="noStrike">
              <a:solidFill>
                <a:schemeClr val="tx1"/>
              </a:solidFill>
              <a:latin typeface="+mn-lt"/>
              <a:ea typeface="+mn-ea"/>
              <a:cs typeface="+mn-cs"/>
            </a:rPr>
            <a:t>   NO</a:t>
          </a:r>
          <a:r>
            <a:rPr lang="es-ES" sz="1100" b="1" i="0" u="none" strike="noStrike" baseline="0">
              <a:solidFill>
                <a:schemeClr val="tx1"/>
              </a:solidFill>
              <a:latin typeface="+mn-lt"/>
              <a:ea typeface="+mn-ea"/>
              <a:cs typeface="+mn-cs"/>
            </a:rPr>
            <a:t> </a:t>
          </a:r>
          <a:r>
            <a:rPr lang="es-ES" sz="1100" b="1" i="0" u="none" strike="noStrike">
              <a:solidFill>
                <a:schemeClr val="tx1"/>
              </a:solidFill>
              <a:latin typeface="+mn-lt"/>
              <a:ea typeface="+mn-ea"/>
              <a:cs typeface="+mn-cs"/>
            </a:rPr>
            <a:t>incrementa les possibilitats de ser food secure</a:t>
          </a:r>
          <a:r>
            <a:rPr lang="es-ES" b="1"/>
            <a:t> </a:t>
          </a:r>
          <a:endParaRPr lang="es-ES" sz="1100" b="1"/>
        </a:p>
      </xdr:txBody>
    </xdr:sp>
    <xdr:clientData/>
  </xdr:oneCellAnchor>
  <xdr:oneCellAnchor>
    <xdr:from>
      <xdr:col>10</xdr:col>
      <xdr:colOff>0</xdr:colOff>
      <xdr:row>53</xdr:row>
      <xdr:rowOff>0</xdr:rowOff>
    </xdr:from>
    <xdr:ext cx="4676774" cy="953466"/>
    <xdr:sp macro="" textlink="">
      <xdr:nvSpPr>
        <xdr:cNvPr id="5" name="4 CuadroTexto"/>
        <xdr:cNvSpPr txBox="1"/>
      </xdr:nvSpPr>
      <xdr:spPr>
        <a:xfrm>
          <a:off x="8696325" y="10229850"/>
          <a:ext cx="4676774" cy="9534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b="1" i="0" u="none" strike="noStrike">
              <a:solidFill>
                <a:schemeClr val="tx1"/>
              </a:solidFill>
              <a:latin typeface="+mn-lt"/>
              <a:ea typeface="+mn-ea"/>
              <a:cs typeface="+mn-cs"/>
            </a:rPr>
            <a:t>Com que Z= 2,7464&gt;  Z 0,99=2,33 RECHAZEM  hipotesis nula  de que no hi ha diferencies entre les proporcions de persones que usen LLABORS</a:t>
          </a:r>
          <a:r>
            <a:rPr lang="es-ES" sz="1100" b="1" i="0" u="none" strike="noStrike" baseline="0">
              <a:solidFill>
                <a:schemeClr val="tx1"/>
              </a:solidFill>
              <a:latin typeface="+mn-lt"/>
              <a:ea typeface="+mn-ea"/>
              <a:cs typeface="+mn-cs"/>
            </a:rPr>
            <a:t> MILLORADES</a:t>
          </a:r>
          <a:r>
            <a:rPr lang="es-ES" sz="1100" b="1" i="0" u="none" strike="noStrike">
              <a:solidFill>
                <a:schemeClr val="tx1"/>
              </a:solidFill>
              <a:latin typeface="+mn-lt"/>
              <a:ea typeface="+mn-ea"/>
              <a:cs typeface="+mn-cs"/>
            </a:rPr>
            <a:t> i els que no dels FS I SFI</a:t>
          </a:r>
          <a:r>
            <a:rPr lang="es-ES" b="1"/>
            <a:t>  </a:t>
          </a:r>
          <a:r>
            <a:rPr lang="es-ES" sz="1100" b="1" i="0" u="none" strike="noStrike">
              <a:solidFill>
                <a:schemeClr val="tx1"/>
              </a:solidFill>
              <a:latin typeface="+mn-lt"/>
              <a:ea typeface="+mn-ea"/>
              <a:cs typeface="+mn-cs"/>
            </a:rPr>
            <a:t>I que per tant es pot concluir que  utilitza </a:t>
          </a:r>
          <a:r>
            <a:rPr lang="es-ES" sz="1100" b="1" i="0" u="none" strike="noStrike" baseline="0">
              <a:solidFill>
                <a:schemeClr val="tx1"/>
              </a:solidFill>
              <a:latin typeface="+mn-lt"/>
              <a:ea typeface="+mn-ea"/>
              <a:cs typeface="+mn-cs"/>
            </a:rPr>
            <a:t> LLABORS MILLORADES</a:t>
          </a:r>
          <a:r>
            <a:rPr lang="es-ES" sz="1100" b="1" i="0" u="none" strike="noStrike">
              <a:solidFill>
                <a:schemeClr val="tx1"/>
              </a:solidFill>
              <a:latin typeface="+mn-lt"/>
              <a:ea typeface="+mn-ea"/>
              <a:cs typeface="+mn-cs"/>
            </a:rPr>
            <a:t>  incrementa les possibilitats de ser food secure</a:t>
          </a:r>
          <a:r>
            <a:rPr lang="es-ES" b="1"/>
            <a:t> </a:t>
          </a:r>
          <a:endParaRPr lang="es-ES" sz="11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47625</xdr:colOff>
      <xdr:row>42</xdr:row>
      <xdr:rowOff>123825</xdr:rowOff>
    </xdr:from>
    <xdr:ext cx="5251566" cy="781240"/>
    <xdr:sp macro="" textlink="">
      <xdr:nvSpPr>
        <xdr:cNvPr id="2" name="1 CuadroTexto"/>
        <xdr:cNvSpPr txBox="1"/>
      </xdr:nvSpPr>
      <xdr:spPr>
        <a:xfrm>
          <a:off x="2333625" y="8343900"/>
          <a:ext cx="5251566" cy="7812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b="1"/>
            <a:t>amb</a:t>
          </a:r>
          <a:r>
            <a:rPr lang="es-ES" sz="1100" b="1" baseline="0"/>
            <a:t> una confiança  del 95% (p&lt;0,05) tenim una gran evidencia mostral per RECHAZAR </a:t>
          </a:r>
        </a:p>
        <a:p>
          <a:r>
            <a:rPr lang="es-ES" sz="1100" b="1" baseline="0"/>
            <a:t>la hipotesis nula de que no hi ha diferencia estadisticament significatives entre  el </a:t>
          </a:r>
        </a:p>
        <a:p>
          <a:r>
            <a:rPr lang="es-ES" sz="1100" b="1" baseline="0"/>
            <a:t>tamany de la terra  del FOOD SECURE i els  Severely food  insecure. Per tant hi ha </a:t>
          </a:r>
        </a:p>
        <a:p>
          <a:r>
            <a:rPr lang="es-ES" sz="1100" b="1" baseline="0"/>
            <a:t>diferencies significatives entre el tamany de la terra d'aquestes dos poblacions</a:t>
          </a:r>
        </a:p>
      </xdr:txBody>
    </xdr:sp>
    <xdr:clientData/>
  </xdr:oneCellAnchor>
  <xdr:oneCellAnchor>
    <xdr:from>
      <xdr:col>6</xdr:col>
      <xdr:colOff>0</xdr:colOff>
      <xdr:row>74</xdr:row>
      <xdr:rowOff>0</xdr:rowOff>
    </xdr:from>
    <xdr:ext cx="7538539" cy="609013"/>
    <xdr:sp macro="" textlink="">
      <xdr:nvSpPr>
        <xdr:cNvPr id="3" name="2 CuadroTexto"/>
        <xdr:cNvSpPr txBox="1"/>
      </xdr:nvSpPr>
      <xdr:spPr>
        <a:xfrm>
          <a:off x="4676775" y="14430375"/>
          <a:ext cx="7538539" cy="609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b="1"/>
            <a:t>amb</a:t>
          </a:r>
          <a:r>
            <a:rPr lang="es-ES" sz="1100" b="1" baseline="0"/>
            <a:t> una confiança  del 99% (p&lt;0,01) tenim una gran evidencia mostral per RECHAZAR la hipotesis nula </a:t>
          </a:r>
        </a:p>
        <a:p>
          <a:r>
            <a:rPr lang="es-ES" sz="1100" b="1" baseline="0"/>
            <a:t>de que no hi ha diferencia estadisticament significatives entre  el tamany de la terra  del FOOD SECURE, ELS MFI i els  Severely</a:t>
          </a:r>
        </a:p>
        <a:p>
          <a:r>
            <a:rPr lang="es-ES" sz="1100" b="1" baseline="0"/>
            <a:t>food  insecure. Per tant hi ha diferencies significatives entre el tamany de la terra d'aquestes TRES poblacions</a:t>
          </a:r>
        </a:p>
      </xdr:txBody>
    </xdr:sp>
    <xdr:clientData/>
  </xdr:oneCellAnchor>
  <xdr:oneCellAnchor>
    <xdr:from>
      <xdr:col>10</xdr:col>
      <xdr:colOff>209550</xdr:colOff>
      <xdr:row>42</xdr:row>
      <xdr:rowOff>104775</xdr:rowOff>
    </xdr:from>
    <xdr:ext cx="5251566" cy="781240"/>
    <xdr:sp macro="" textlink="">
      <xdr:nvSpPr>
        <xdr:cNvPr id="4" name="3 CuadroTexto"/>
        <xdr:cNvSpPr txBox="1"/>
      </xdr:nvSpPr>
      <xdr:spPr>
        <a:xfrm>
          <a:off x="7934325" y="8324850"/>
          <a:ext cx="5251566" cy="7812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b="1"/>
            <a:t>amb</a:t>
          </a:r>
          <a:r>
            <a:rPr lang="es-ES" sz="1100" b="1" baseline="0"/>
            <a:t> una confiança  del 95% (p&lt;0,05) tenim una gran evidencia mostral per RECHAZAR </a:t>
          </a:r>
        </a:p>
        <a:p>
          <a:r>
            <a:rPr lang="es-ES" sz="1100" b="1" baseline="0"/>
            <a:t>la hipotesis nula de que no hi ha diferencia estadisticament significatives entre  el </a:t>
          </a:r>
        </a:p>
        <a:p>
          <a:r>
            <a:rPr lang="es-ES" sz="1100" b="1" baseline="0"/>
            <a:t>tamany de la terra  del FOOD SECURE i els  moderatly food  insecure. Per tant hi ha </a:t>
          </a:r>
        </a:p>
        <a:p>
          <a:r>
            <a:rPr lang="es-ES" sz="1100" b="1" baseline="0"/>
            <a:t>diferencies significatives entre el tamany de la terra d'aquestes dos poblacions</a:t>
          </a:r>
        </a:p>
      </xdr:txBody>
    </xdr:sp>
    <xdr:clientData/>
  </xdr:oneCellAnchor>
  <xdr:oneCellAnchor>
    <xdr:from>
      <xdr:col>19</xdr:col>
      <xdr:colOff>0</xdr:colOff>
      <xdr:row>43</xdr:row>
      <xdr:rowOff>0</xdr:rowOff>
    </xdr:from>
    <xdr:ext cx="5251566" cy="781240"/>
    <xdr:sp macro="" textlink="">
      <xdr:nvSpPr>
        <xdr:cNvPr id="5" name="4 CuadroTexto"/>
        <xdr:cNvSpPr txBox="1"/>
      </xdr:nvSpPr>
      <xdr:spPr>
        <a:xfrm>
          <a:off x="14582775" y="8410575"/>
          <a:ext cx="5251566" cy="7812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b="1"/>
            <a:t>amb</a:t>
          </a:r>
          <a:r>
            <a:rPr lang="es-ES" sz="1100" b="1" baseline="0"/>
            <a:t> una confiança  del 95% (p&lt;0,05) tenim una gran evidencia mostral per ACCEPTAR </a:t>
          </a:r>
        </a:p>
        <a:p>
          <a:r>
            <a:rPr lang="es-ES" sz="1100" b="1" baseline="0"/>
            <a:t>la hipotesis nula de que no hi ha diferencia estadisticament significatives entre  el </a:t>
          </a:r>
        </a:p>
        <a:p>
          <a:r>
            <a:rPr lang="es-ES" sz="1100" b="1" baseline="0"/>
            <a:t>tamany de la terra  dels  moderatly food  insecure i dels SFI. Per tant, NO hi ha </a:t>
          </a:r>
        </a:p>
        <a:p>
          <a:r>
            <a:rPr lang="es-ES" sz="1100" b="1" baseline="0"/>
            <a:t>diferencies significatives entre el tamany de la terra d'aquestes dos poblacions</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752475</xdr:colOff>
      <xdr:row>53</xdr:row>
      <xdr:rowOff>66675</xdr:rowOff>
    </xdr:from>
    <xdr:ext cx="6126292" cy="781240"/>
    <xdr:sp macro="" textlink="">
      <xdr:nvSpPr>
        <xdr:cNvPr id="2" name="1 CuadroTexto"/>
        <xdr:cNvSpPr txBox="1"/>
      </xdr:nvSpPr>
      <xdr:spPr>
        <a:xfrm>
          <a:off x="5419725" y="10401300"/>
          <a:ext cx="6126292" cy="7812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b="1"/>
            <a:t>amb</a:t>
          </a:r>
          <a:r>
            <a:rPr lang="es-ES" sz="1100" b="1" baseline="0"/>
            <a:t> una confiança  del 99% (p&lt;0,01) tenim una gran evidencia mostral per acceptar la hipotesis nula </a:t>
          </a:r>
        </a:p>
        <a:p>
          <a:r>
            <a:rPr lang="es-ES" sz="1100" b="1" baseline="0"/>
            <a:t>de que no hi ha diferencia estadisticament significatives entre  el tamany familiar en Adult equivalent</a:t>
          </a:r>
        </a:p>
        <a:p>
          <a:r>
            <a:rPr lang="es-ES" sz="1100" b="1" baseline="0"/>
            <a:t> entre les poblacions  segures  i moderadament insegures alimentariament</a:t>
          </a:r>
        </a:p>
        <a:p>
          <a:endParaRPr lang="es-ES" sz="1100"/>
        </a:p>
      </xdr:txBody>
    </xdr:sp>
    <xdr:clientData/>
  </xdr:oneCellAnchor>
  <xdr:oneCellAnchor>
    <xdr:from>
      <xdr:col>15</xdr:col>
      <xdr:colOff>0</xdr:colOff>
      <xdr:row>53</xdr:row>
      <xdr:rowOff>0</xdr:rowOff>
    </xdr:from>
    <xdr:ext cx="6126292" cy="953466"/>
    <xdr:sp macro="" textlink="">
      <xdr:nvSpPr>
        <xdr:cNvPr id="3" name="2 CuadroTexto"/>
        <xdr:cNvSpPr txBox="1"/>
      </xdr:nvSpPr>
      <xdr:spPr>
        <a:xfrm>
          <a:off x="11801475" y="10334625"/>
          <a:ext cx="6126292" cy="95346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b="1"/>
            <a:t>amb</a:t>
          </a:r>
          <a:r>
            <a:rPr lang="es-ES" sz="1100" b="1" baseline="0"/>
            <a:t> una confiança  del 99% (p&lt;0,01) tenim una gran evidencia mostral per acceptar la hipotesis nula </a:t>
          </a:r>
        </a:p>
        <a:p>
          <a:r>
            <a:rPr lang="es-ES" sz="1100" b="1" baseline="0"/>
            <a:t>de que no hi ha diferencia estadisticament significatives entre  el tamany familiar en Adult equivalent</a:t>
          </a:r>
        </a:p>
        <a:p>
          <a:r>
            <a:rPr lang="es-ES" sz="1100" b="1" baseline="0"/>
            <a:t> entre les poblacions  segures  i SEVERAMENT</a:t>
          </a:r>
        </a:p>
        <a:p>
          <a:r>
            <a:rPr lang="es-ES" sz="1100" b="1" baseline="0"/>
            <a:t> insegures alimentariament</a:t>
          </a:r>
        </a:p>
        <a:p>
          <a:endParaRPr lang="es-ES" sz="1100"/>
        </a:p>
      </xdr:txBody>
    </xdr:sp>
    <xdr:clientData/>
  </xdr:oneCellAnchor>
  <xdr:oneCellAnchor>
    <xdr:from>
      <xdr:col>9</xdr:col>
      <xdr:colOff>0</xdr:colOff>
      <xdr:row>87</xdr:row>
      <xdr:rowOff>0</xdr:rowOff>
    </xdr:from>
    <xdr:ext cx="8645572" cy="781240"/>
    <xdr:sp macro="" textlink="">
      <xdr:nvSpPr>
        <xdr:cNvPr id="4" name="3 CuadroTexto"/>
        <xdr:cNvSpPr txBox="1"/>
      </xdr:nvSpPr>
      <xdr:spPr>
        <a:xfrm>
          <a:off x="7096125" y="16754475"/>
          <a:ext cx="8645572" cy="7812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b="1"/>
            <a:t>amb</a:t>
          </a:r>
          <a:r>
            <a:rPr lang="es-ES" sz="1100" b="1" baseline="0"/>
            <a:t> una confiança  del 99% (p&lt;0,01) tenim una gran evidencia mostral per ACCEPTAR la hipotesis nula </a:t>
          </a:r>
        </a:p>
        <a:p>
          <a:r>
            <a:rPr lang="es-ES" sz="1100" b="1" baseline="0"/>
            <a:t>de que no hi ha diferencia estadisticament significatives entre  el tamany familiar en adult equivalent   dels FOOD SECURE, ELS MFI i els  Severely</a:t>
          </a:r>
        </a:p>
        <a:p>
          <a:r>
            <a:rPr lang="es-ES" sz="1100" b="1" baseline="0"/>
            <a:t>food  insecure. Per tant no  hi ha diferencies significatives entre el tamany familiar d'aquestes poblacions</a:t>
          </a:r>
        </a:p>
        <a:p>
          <a:r>
            <a:rPr lang="es-ES" sz="1100" b="1" baseline="0"/>
            <a:t> d'aquestes TRES poblacions</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0</xdr:colOff>
      <xdr:row>35</xdr:row>
      <xdr:rowOff>0</xdr:rowOff>
    </xdr:from>
    <xdr:ext cx="6109749" cy="953466"/>
    <xdr:sp macro="" textlink="">
      <xdr:nvSpPr>
        <xdr:cNvPr id="2" name="1 CuadroTexto"/>
        <xdr:cNvSpPr txBox="1"/>
      </xdr:nvSpPr>
      <xdr:spPr>
        <a:xfrm>
          <a:off x="6124575" y="6848475"/>
          <a:ext cx="6109749" cy="95346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b="1"/>
            <a:t>amb</a:t>
          </a:r>
          <a:r>
            <a:rPr lang="es-ES" sz="1100" b="1" baseline="0"/>
            <a:t> una confiança  del 99% (p&lt;0,01) tenim una gran evidencia mostral per acceptar la hipotesis nula </a:t>
          </a:r>
        </a:p>
        <a:p>
          <a:r>
            <a:rPr lang="es-ES" sz="1100" b="1" baseline="0"/>
            <a:t>de que no hi ha diferencia estadisticament significatives entre  L'edat del household head </a:t>
          </a:r>
        </a:p>
        <a:p>
          <a:r>
            <a:rPr lang="es-ES" sz="1100" b="1" baseline="0"/>
            <a:t> entre les poblacions  segures  i SEVEREAMENT </a:t>
          </a:r>
        </a:p>
        <a:p>
          <a:r>
            <a:rPr lang="es-ES" sz="1100" b="1" baseline="0"/>
            <a:t> insegures alimentariament</a:t>
          </a:r>
        </a:p>
        <a:p>
          <a:endParaRPr lang="es-ES" sz="1100"/>
        </a:p>
      </xdr:txBody>
    </xdr:sp>
    <xdr:clientData/>
  </xdr:oneCellAnchor>
  <xdr:oneCellAnchor>
    <xdr:from>
      <xdr:col>5</xdr:col>
      <xdr:colOff>0</xdr:colOff>
      <xdr:row>67</xdr:row>
      <xdr:rowOff>0</xdr:rowOff>
    </xdr:from>
    <xdr:ext cx="7950703" cy="781240"/>
    <xdr:sp macro="" textlink="">
      <xdr:nvSpPr>
        <xdr:cNvPr id="3" name="2 CuadroTexto"/>
        <xdr:cNvSpPr txBox="1"/>
      </xdr:nvSpPr>
      <xdr:spPr>
        <a:xfrm>
          <a:off x="3810000" y="13039725"/>
          <a:ext cx="7950703" cy="7812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b="1"/>
            <a:t>amb</a:t>
          </a:r>
          <a:r>
            <a:rPr lang="es-ES" sz="1100" b="1" baseline="0"/>
            <a:t> una confiança  del 99% (p&lt;0,01) tenim una gran evidencia mostral per ACCEPTAR la hipotesis nula </a:t>
          </a:r>
        </a:p>
        <a:p>
          <a:r>
            <a:rPr lang="es-ES" sz="1100" b="1" baseline="0"/>
            <a:t>de que no hi ha diferencia estadisticament significatives entre  L'edat del household head   dels FOOD SECURE, ELS MFI i els  Severely</a:t>
          </a:r>
        </a:p>
        <a:p>
          <a:r>
            <a:rPr lang="es-ES" sz="1100" b="1" baseline="0"/>
            <a:t>food  insecure. Per tant no  hi ha diferencies significatives entre l'edat del household head </a:t>
          </a:r>
        </a:p>
        <a:p>
          <a:r>
            <a:rPr lang="es-ES" sz="1100" b="1" baseline="0"/>
            <a:t> d'aquestes TRES poblacions</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9</xdr:col>
      <xdr:colOff>224119</xdr:colOff>
      <xdr:row>72</xdr:row>
      <xdr:rowOff>176129</xdr:rowOff>
    </xdr:from>
    <xdr:to>
      <xdr:col>14</xdr:col>
      <xdr:colOff>672353</xdr:colOff>
      <xdr:row>78</xdr:row>
      <xdr:rowOff>0</xdr:rowOff>
    </xdr:to>
    <xdr:sp macro="" textlink="">
      <xdr:nvSpPr>
        <xdr:cNvPr id="2" name="1 CuadroTexto"/>
        <xdr:cNvSpPr txBox="1"/>
      </xdr:nvSpPr>
      <xdr:spPr>
        <a:xfrm rot="10800000" flipH="1" flipV="1">
          <a:off x="7451913" y="14239511"/>
          <a:ext cx="4258234" cy="966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es-ES" sz="1100" b="1"/>
            <a:t>Donat</a:t>
          </a:r>
          <a:r>
            <a:rPr lang="es-ES" sz="1100" b="1" baseline="0"/>
            <a:t> que el valor calculat de chi-cuadrat per a un nivell  de confiança del 99% ( 1% nivell de significacio) es major que el valor de les taules, es rechaza la hipotesis nula de independencia entre els factors, acceptant per tant que l'estat de seguretat alimentaria 'influeix en que aquests tingin acces a draft power o no</a:t>
          </a:r>
        </a:p>
        <a:p>
          <a:pPr algn="l"/>
          <a:endParaRPr lang="es-E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47324</xdr:colOff>
      <xdr:row>0</xdr:row>
      <xdr:rowOff>66375</xdr:rowOff>
    </xdr:from>
    <xdr:ext cx="4322096" cy="966656"/>
    <xdr:sp macro="" textlink="">
      <xdr:nvSpPr>
        <xdr:cNvPr id="2" name="1 CuadroTexto"/>
        <xdr:cNvSpPr txBox="1"/>
      </xdr:nvSpPr>
      <xdr:spPr>
        <a:xfrm>
          <a:off x="5381324" y="66375"/>
          <a:ext cx="4322096" cy="96665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b="1"/>
            <a:t>Comentaris: </a:t>
          </a:r>
          <a:r>
            <a:rPr lang="es-ES" sz="1100" b="1" baseline="0"/>
            <a:t> El 100% de la poblacio food secure ( 4 persones ) </a:t>
          </a:r>
        </a:p>
        <a:p>
          <a:r>
            <a:rPr lang="es-ES" sz="1100" b="1" baseline="0"/>
            <a:t>NO ha agafat cap credit. El 100% diuen que es que no el necessiten, i d'aquests dos comenten que tenen suficient capital. Els dos per vendre vaques,tot i que el Jilo gedecha les va vendre al 2000</a:t>
          </a:r>
        </a:p>
        <a:p>
          <a:endParaRPr lang="es-E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35</xdr:col>
      <xdr:colOff>0</xdr:colOff>
      <xdr:row>29</xdr:row>
      <xdr:rowOff>0</xdr:rowOff>
    </xdr:from>
    <xdr:ext cx="7538154" cy="781240"/>
    <xdr:sp macro="" textlink="">
      <xdr:nvSpPr>
        <xdr:cNvPr id="2" name="1 CuadroTexto"/>
        <xdr:cNvSpPr txBox="1"/>
      </xdr:nvSpPr>
      <xdr:spPr>
        <a:xfrm>
          <a:off x="29124088" y="5793441"/>
          <a:ext cx="7538154" cy="7812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b="1"/>
            <a:t>amb</a:t>
          </a:r>
          <a:r>
            <a:rPr lang="es-ES" sz="1100" b="1" baseline="0"/>
            <a:t> una confiança  del 95% (p&lt;0,05) tenim una gran evidencia mostral per  RECHAZAR la hipotesis nula </a:t>
          </a:r>
        </a:p>
        <a:p>
          <a:r>
            <a:rPr lang="es-ES" sz="1100" b="1" baseline="0"/>
            <a:t>de que no hi ha diferencia estadisticament significatives entre  el total d'ingressos    dels FOOD SECURE, ELS MFI i els  Severely</a:t>
          </a:r>
        </a:p>
        <a:p>
          <a:r>
            <a:rPr lang="es-ES" sz="1100" b="1" baseline="0"/>
            <a:t>food  insecure. Per tant   hi ha diferencies significatives entre els ingressos </a:t>
          </a:r>
        </a:p>
        <a:p>
          <a:r>
            <a:rPr lang="es-ES" sz="1100" b="1" baseline="0"/>
            <a:t> d'aquestes TRES poblacions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7</xdr:col>
      <xdr:colOff>0</xdr:colOff>
      <xdr:row>31</xdr:row>
      <xdr:rowOff>0</xdr:rowOff>
    </xdr:from>
    <xdr:ext cx="3467100" cy="953466"/>
    <xdr:sp macro="" textlink="">
      <xdr:nvSpPr>
        <xdr:cNvPr id="2" name="1 CuadroTexto"/>
        <xdr:cNvSpPr txBox="1"/>
      </xdr:nvSpPr>
      <xdr:spPr>
        <a:xfrm>
          <a:off x="6229350" y="6038850"/>
          <a:ext cx="3467100" cy="9534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b="1" i="0" u="none" strike="noStrike">
              <a:solidFill>
                <a:schemeClr val="tx1"/>
              </a:solidFill>
              <a:latin typeface="+mn-lt"/>
              <a:ea typeface="+mn-ea"/>
              <a:cs typeface="+mn-cs"/>
            </a:rPr>
            <a:t>Com que Z= 2,0682</a:t>
          </a:r>
          <a:r>
            <a:rPr lang="es-ES" sz="1100" b="1" i="0" u="none" strike="noStrike" baseline="0">
              <a:solidFill>
                <a:schemeClr val="tx1"/>
              </a:solidFill>
              <a:latin typeface="+mn-lt"/>
              <a:ea typeface="+mn-ea"/>
              <a:cs typeface="+mn-cs"/>
            </a:rPr>
            <a:t> &lt;</a:t>
          </a:r>
          <a:r>
            <a:rPr lang="es-ES" sz="1100" b="1" i="0" u="none" strike="noStrike">
              <a:solidFill>
                <a:schemeClr val="tx1"/>
              </a:solidFill>
              <a:latin typeface="+mn-lt"/>
              <a:ea typeface="+mn-ea"/>
              <a:cs typeface="+mn-cs"/>
            </a:rPr>
            <a:t>  Z 0,99=2,33 </a:t>
          </a:r>
          <a:r>
            <a:rPr lang="es-ES" sz="1100" b="1" i="0" u="none" strike="noStrike" baseline="0">
              <a:solidFill>
                <a:schemeClr val="tx1"/>
              </a:solidFill>
              <a:latin typeface="+mn-lt"/>
              <a:ea typeface="+mn-ea"/>
              <a:cs typeface="+mn-cs"/>
            </a:rPr>
            <a:t> ACCEPTEM</a:t>
          </a:r>
          <a:r>
            <a:rPr lang="es-ES" sz="1100" b="1" i="0" u="none" strike="noStrike">
              <a:solidFill>
                <a:schemeClr val="tx1"/>
              </a:solidFill>
              <a:latin typeface="+mn-lt"/>
              <a:ea typeface="+mn-ea"/>
              <a:cs typeface="+mn-cs"/>
            </a:rPr>
            <a:t> hipotesis nula  de que no hi ha diferencies entre les proporcions de </a:t>
          </a:r>
          <a:r>
            <a:rPr lang="es-ES" sz="1100" b="1" i="0" u="none" strike="noStrike" baseline="0">
              <a:solidFill>
                <a:schemeClr val="tx1"/>
              </a:solidFill>
              <a:latin typeface="+mn-lt"/>
              <a:ea typeface="+mn-ea"/>
              <a:cs typeface="+mn-cs"/>
            </a:rPr>
            <a:t> GENT QUE REP AJUDA ALIMENTARIA</a:t>
          </a:r>
          <a:r>
            <a:rPr lang="es-ES" sz="1100" b="1" i="0" u="none" strike="noStrike">
              <a:solidFill>
                <a:schemeClr val="tx1"/>
              </a:solidFill>
              <a:latin typeface="+mn-lt"/>
              <a:ea typeface="+mn-ea"/>
              <a:cs typeface="+mn-cs"/>
            </a:rPr>
            <a:t>  dels FS</a:t>
          </a:r>
          <a:r>
            <a:rPr lang="es-ES" sz="1100" b="1" i="0" u="none" strike="noStrike" baseline="0">
              <a:solidFill>
                <a:schemeClr val="tx1"/>
              </a:solidFill>
              <a:latin typeface="+mn-lt"/>
              <a:ea typeface="+mn-ea"/>
              <a:cs typeface="+mn-cs"/>
            </a:rPr>
            <a:t> </a:t>
          </a:r>
          <a:r>
            <a:rPr lang="es-ES" sz="1100" b="1" i="0" u="none" strike="noStrike">
              <a:solidFill>
                <a:schemeClr val="tx1"/>
              </a:solidFill>
              <a:latin typeface="+mn-lt"/>
              <a:ea typeface="+mn-ea"/>
              <a:cs typeface="+mn-cs"/>
            </a:rPr>
            <a:t> I MFI</a:t>
          </a:r>
          <a:r>
            <a:rPr lang="es-ES" b="1"/>
            <a:t> </a:t>
          </a:r>
          <a:r>
            <a:rPr lang="es-ES" sz="1100" b="1" i="0" u="none" strike="noStrike">
              <a:solidFill>
                <a:schemeClr val="tx1"/>
              </a:solidFill>
              <a:latin typeface="+mn-lt"/>
              <a:ea typeface="+mn-ea"/>
              <a:cs typeface="+mn-cs"/>
            </a:rPr>
            <a:t>I que per tant es pot concluir que  rebre</a:t>
          </a:r>
          <a:r>
            <a:rPr lang="es-ES" sz="1100" b="1" i="0" u="none" strike="noStrike" baseline="0">
              <a:solidFill>
                <a:schemeClr val="tx1"/>
              </a:solidFill>
              <a:latin typeface="+mn-lt"/>
              <a:ea typeface="+mn-ea"/>
              <a:cs typeface="+mn-cs"/>
            </a:rPr>
            <a:t> FOOD AID </a:t>
          </a:r>
          <a:r>
            <a:rPr lang="es-ES" sz="1100" b="1" i="0" u="none" strike="noStrike">
              <a:solidFill>
                <a:schemeClr val="tx1"/>
              </a:solidFill>
              <a:latin typeface="+mn-lt"/>
              <a:ea typeface="+mn-ea"/>
              <a:cs typeface="+mn-cs"/>
            </a:rPr>
            <a:t>NO INFLUEIX </a:t>
          </a:r>
          <a:r>
            <a:rPr lang="es-ES" sz="1100" b="1" i="0" u="none" strike="noStrike" baseline="0">
              <a:solidFill>
                <a:schemeClr val="tx1"/>
              </a:solidFill>
              <a:latin typeface="+mn-lt"/>
              <a:ea typeface="+mn-ea"/>
              <a:cs typeface="+mn-cs"/>
            </a:rPr>
            <a:t> en </a:t>
          </a:r>
          <a:r>
            <a:rPr lang="es-ES" sz="1100" b="1" i="0" u="none" strike="noStrike">
              <a:solidFill>
                <a:schemeClr val="tx1"/>
              </a:solidFill>
              <a:latin typeface="+mn-lt"/>
              <a:ea typeface="+mn-ea"/>
              <a:cs typeface="+mn-cs"/>
            </a:rPr>
            <a:t> les possibilitats de ser FS</a:t>
          </a:r>
          <a:r>
            <a:rPr lang="es-ES" b="1"/>
            <a:t>  o MFI</a:t>
          </a:r>
        </a:p>
      </xdr:txBody>
    </xdr:sp>
    <xdr:clientData/>
  </xdr:oneCellAnchor>
  <xdr:oneCellAnchor>
    <xdr:from>
      <xdr:col>13</xdr:col>
      <xdr:colOff>0</xdr:colOff>
      <xdr:row>31</xdr:row>
      <xdr:rowOff>0</xdr:rowOff>
    </xdr:from>
    <xdr:ext cx="3467100" cy="953466"/>
    <xdr:sp macro="" textlink="">
      <xdr:nvSpPr>
        <xdr:cNvPr id="3" name="2 CuadroTexto"/>
        <xdr:cNvSpPr txBox="1"/>
      </xdr:nvSpPr>
      <xdr:spPr>
        <a:xfrm>
          <a:off x="10801350" y="6038850"/>
          <a:ext cx="3467100" cy="9534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b="1" i="0" u="none" strike="noStrike" baseline="0">
              <a:solidFill>
                <a:schemeClr val="tx1"/>
              </a:solidFill>
              <a:latin typeface="+mn-lt"/>
              <a:ea typeface="+mn-ea"/>
              <a:cs typeface="+mn-cs"/>
            </a:rPr>
            <a:t>ACCEPTEM</a:t>
          </a:r>
          <a:r>
            <a:rPr lang="es-ES" sz="1100" b="1" i="0" u="none" strike="noStrike">
              <a:solidFill>
                <a:schemeClr val="tx1"/>
              </a:solidFill>
              <a:latin typeface="+mn-lt"/>
              <a:ea typeface="+mn-ea"/>
              <a:cs typeface="+mn-cs"/>
            </a:rPr>
            <a:t> hipotesis nula  de que no hi ha diferencies entre les proporcions de </a:t>
          </a:r>
          <a:r>
            <a:rPr lang="es-ES" sz="1100" b="1" i="0" u="none" strike="noStrike" baseline="0">
              <a:solidFill>
                <a:schemeClr val="tx1"/>
              </a:solidFill>
              <a:latin typeface="+mn-lt"/>
              <a:ea typeface="+mn-ea"/>
              <a:cs typeface="+mn-cs"/>
            </a:rPr>
            <a:t> GENT QUE REP AJUDA ALIMENTARIA</a:t>
          </a:r>
          <a:r>
            <a:rPr lang="es-ES" sz="1100" b="1" i="0" u="none" strike="noStrike">
              <a:solidFill>
                <a:schemeClr val="tx1"/>
              </a:solidFill>
              <a:latin typeface="+mn-lt"/>
              <a:ea typeface="+mn-ea"/>
              <a:cs typeface="+mn-cs"/>
            </a:rPr>
            <a:t>  dels </a:t>
          </a:r>
          <a:r>
            <a:rPr lang="es-ES" sz="1100" b="1" i="0" u="none" strike="noStrike" baseline="0">
              <a:solidFill>
                <a:schemeClr val="tx1"/>
              </a:solidFill>
              <a:latin typeface="+mn-lt"/>
              <a:ea typeface="+mn-ea"/>
              <a:cs typeface="+mn-cs"/>
            </a:rPr>
            <a:t> MFI I SFI .</a:t>
          </a:r>
          <a:r>
            <a:rPr lang="es-ES" b="1"/>
            <a:t> </a:t>
          </a:r>
          <a:r>
            <a:rPr lang="es-ES" sz="1100" b="1" i="0" u="none" strike="noStrike">
              <a:solidFill>
                <a:schemeClr val="tx1"/>
              </a:solidFill>
              <a:latin typeface="+mn-lt"/>
              <a:ea typeface="+mn-ea"/>
              <a:cs typeface="+mn-cs"/>
            </a:rPr>
            <a:t>I que per tant es pot concluir que  rebre</a:t>
          </a:r>
          <a:r>
            <a:rPr lang="es-ES" sz="1100" b="1" i="0" u="none" strike="noStrike" baseline="0">
              <a:solidFill>
                <a:schemeClr val="tx1"/>
              </a:solidFill>
              <a:latin typeface="+mn-lt"/>
              <a:ea typeface="+mn-ea"/>
              <a:cs typeface="+mn-cs"/>
            </a:rPr>
            <a:t> FOOD AID </a:t>
          </a:r>
          <a:r>
            <a:rPr lang="es-ES" sz="1100" b="1" i="0" u="none" strike="noStrike">
              <a:solidFill>
                <a:schemeClr val="tx1"/>
              </a:solidFill>
              <a:latin typeface="+mn-lt"/>
              <a:ea typeface="+mn-ea"/>
              <a:cs typeface="+mn-cs"/>
            </a:rPr>
            <a:t>NO INFLUEIX </a:t>
          </a:r>
          <a:r>
            <a:rPr lang="es-ES" sz="1100" b="1" i="0" u="none" strike="noStrike" baseline="0">
              <a:solidFill>
                <a:schemeClr val="tx1"/>
              </a:solidFill>
              <a:latin typeface="+mn-lt"/>
              <a:ea typeface="+mn-ea"/>
              <a:cs typeface="+mn-cs"/>
            </a:rPr>
            <a:t> en </a:t>
          </a:r>
          <a:r>
            <a:rPr lang="es-ES" sz="1100" b="1" i="0" u="none" strike="noStrike">
              <a:solidFill>
                <a:schemeClr val="tx1"/>
              </a:solidFill>
              <a:latin typeface="+mn-lt"/>
              <a:ea typeface="+mn-ea"/>
              <a:cs typeface="+mn-cs"/>
            </a:rPr>
            <a:t> les possibilitats de ser MFI</a:t>
          </a:r>
          <a:r>
            <a:rPr lang="es-ES" b="1"/>
            <a:t>  o SFI</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0</xdr:colOff>
      <xdr:row>37</xdr:row>
      <xdr:rowOff>0</xdr:rowOff>
    </xdr:from>
    <xdr:ext cx="3467100" cy="953466"/>
    <xdr:sp macro="" textlink="">
      <xdr:nvSpPr>
        <xdr:cNvPr id="2" name="1 CuadroTexto"/>
        <xdr:cNvSpPr txBox="1"/>
      </xdr:nvSpPr>
      <xdr:spPr>
        <a:xfrm>
          <a:off x="3320143" y="7211786"/>
          <a:ext cx="3467100" cy="9534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b="1" i="0" u="none" strike="noStrike">
              <a:solidFill>
                <a:schemeClr val="tx1"/>
              </a:solidFill>
              <a:latin typeface="+mn-lt"/>
              <a:ea typeface="+mn-ea"/>
              <a:cs typeface="+mn-cs"/>
            </a:rPr>
            <a:t>Com que Z= </a:t>
          </a:r>
          <a:r>
            <a:rPr lang="es-ES" sz="1100" b="1" i="0" u="none" strike="noStrike" baseline="0">
              <a:solidFill>
                <a:schemeClr val="tx1"/>
              </a:solidFill>
              <a:latin typeface="+mn-lt"/>
              <a:ea typeface="+mn-ea"/>
              <a:cs typeface="+mn-cs"/>
            </a:rPr>
            <a:t> 0,2817&lt; </a:t>
          </a:r>
          <a:r>
            <a:rPr lang="es-ES" sz="1100" b="1" i="0" u="none" strike="noStrike">
              <a:solidFill>
                <a:schemeClr val="tx1"/>
              </a:solidFill>
              <a:latin typeface="+mn-lt"/>
              <a:ea typeface="+mn-ea"/>
              <a:cs typeface="+mn-cs"/>
            </a:rPr>
            <a:t>Z 0,99=2,33 </a:t>
          </a:r>
          <a:r>
            <a:rPr lang="es-ES" sz="1100" b="1" i="0" u="none" strike="noStrike" baseline="0">
              <a:solidFill>
                <a:schemeClr val="tx1"/>
              </a:solidFill>
              <a:latin typeface="+mn-lt"/>
              <a:ea typeface="+mn-ea"/>
              <a:cs typeface="+mn-cs"/>
            </a:rPr>
            <a:t> ACCEPTEM</a:t>
          </a:r>
          <a:r>
            <a:rPr lang="es-ES" sz="1100" b="1" i="0" u="none" strike="noStrike">
              <a:solidFill>
                <a:schemeClr val="tx1"/>
              </a:solidFill>
              <a:latin typeface="+mn-lt"/>
              <a:ea typeface="+mn-ea"/>
              <a:cs typeface="+mn-cs"/>
            </a:rPr>
            <a:t> hipotesis nula  de que no hi ha diferencies entre les proporcions de </a:t>
          </a:r>
          <a:r>
            <a:rPr lang="es-ES" sz="1100" b="1" i="0" u="none" strike="noStrike" baseline="0">
              <a:solidFill>
                <a:schemeClr val="tx1"/>
              </a:solidFill>
              <a:latin typeface="+mn-lt"/>
              <a:ea typeface="+mn-ea"/>
              <a:cs typeface="+mn-cs"/>
            </a:rPr>
            <a:t> gent que te algun estudi</a:t>
          </a:r>
          <a:r>
            <a:rPr lang="es-ES" sz="1100" b="1" i="0" u="none" strike="noStrike">
              <a:solidFill>
                <a:schemeClr val="tx1"/>
              </a:solidFill>
              <a:latin typeface="+mn-lt"/>
              <a:ea typeface="+mn-ea"/>
              <a:cs typeface="+mn-cs"/>
            </a:rPr>
            <a:t>  dels FS I MFI</a:t>
          </a:r>
          <a:r>
            <a:rPr lang="es-ES" b="1"/>
            <a:t> </a:t>
          </a:r>
          <a:r>
            <a:rPr lang="es-ES" sz="1100" b="1" i="0" u="none" strike="noStrike">
              <a:solidFill>
                <a:schemeClr val="tx1"/>
              </a:solidFill>
              <a:latin typeface="+mn-lt"/>
              <a:ea typeface="+mn-ea"/>
              <a:cs typeface="+mn-cs"/>
            </a:rPr>
            <a:t>I que per tant es pot concluir que  tenir</a:t>
          </a:r>
          <a:r>
            <a:rPr lang="es-ES" sz="1100" b="1" i="0" u="none" strike="noStrike" baseline="0">
              <a:solidFill>
                <a:schemeClr val="tx1"/>
              </a:solidFill>
              <a:latin typeface="+mn-lt"/>
              <a:ea typeface="+mn-ea"/>
              <a:cs typeface="+mn-cs"/>
            </a:rPr>
            <a:t> algun estudi o no, NO </a:t>
          </a:r>
          <a:r>
            <a:rPr lang="es-ES" sz="1100" b="1" i="0" u="none" strike="noStrike">
              <a:solidFill>
                <a:schemeClr val="tx1"/>
              </a:solidFill>
              <a:latin typeface="+mn-lt"/>
              <a:ea typeface="+mn-ea"/>
              <a:cs typeface="+mn-cs"/>
            </a:rPr>
            <a:t> INFLUEIX </a:t>
          </a:r>
          <a:r>
            <a:rPr lang="es-ES" sz="1100" b="1" i="0" u="none" strike="noStrike" baseline="0">
              <a:solidFill>
                <a:schemeClr val="tx1"/>
              </a:solidFill>
              <a:latin typeface="+mn-lt"/>
              <a:ea typeface="+mn-ea"/>
              <a:cs typeface="+mn-cs"/>
            </a:rPr>
            <a:t> en </a:t>
          </a:r>
          <a:r>
            <a:rPr lang="es-ES" sz="1100" b="1" i="0" u="none" strike="noStrike">
              <a:solidFill>
                <a:schemeClr val="tx1"/>
              </a:solidFill>
              <a:latin typeface="+mn-lt"/>
              <a:ea typeface="+mn-ea"/>
              <a:cs typeface="+mn-cs"/>
            </a:rPr>
            <a:t> les possibilitats de ser food secure</a:t>
          </a:r>
          <a:r>
            <a:rPr lang="es-ES" b="1"/>
            <a:t> o</a:t>
          </a:r>
          <a:r>
            <a:rPr lang="es-ES" b="1" baseline="0"/>
            <a:t> MFI</a:t>
          </a:r>
          <a:endParaRPr lang="es-ES" b="1"/>
        </a:p>
      </xdr:txBody>
    </xdr:sp>
    <xdr:clientData/>
  </xdr:oneCellAnchor>
  <xdr:oneCellAnchor>
    <xdr:from>
      <xdr:col>11</xdr:col>
      <xdr:colOff>0</xdr:colOff>
      <xdr:row>37</xdr:row>
      <xdr:rowOff>0</xdr:rowOff>
    </xdr:from>
    <xdr:ext cx="3467100" cy="953466"/>
    <xdr:sp macro="" textlink="">
      <xdr:nvSpPr>
        <xdr:cNvPr id="3" name="2 CuadroTexto"/>
        <xdr:cNvSpPr txBox="1"/>
      </xdr:nvSpPr>
      <xdr:spPr>
        <a:xfrm>
          <a:off x="8817429" y="7211786"/>
          <a:ext cx="3467100" cy="9534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b="1" i="0" u="none" strike="noStrike">
              <a:solidFill>
                <a:schemeClr val="tx1"/>
              </a:solidFill>
              <a:latin typeface="+mn-lt"/>
              <a:ea typeface="+mn-ea"/>
              <a:cs typeface="+mn-cs"/>
            </a:rPr>
            <a:t>Com que Z= </a:t>
          </a:r>
          <a:r>
            <a:rPr lang="es-ES" sz="1100" b="1" i="0" u="none" strike="noStrike" baseline="0">
              <a:solidFill>
                <a:schemeClr val="tx1"/>
              </a:solidFill>
              <a:latin typeface="+mn-lt"/>
              <a:ea typeface="+mn-ea"/>
              <a:cs typeface="+mn-cs"/>
            </a:rPr>
            <a:t> 0,7905&lt; </a:t>
          </a:r>
          <a:r>
            <a:rPr lang="es-ES" sz="1100" b="1" i="0" u="none" strike="noStrike">
              <a:solidFill>
                <a:schemeClr val="tx1"/>
              </a:solidFill>
              <a:latin typeface="+mn-lt"/>
              <a:ea typeface="+mn-ea"/>
              <a:cs typeface="+mn-cs"/>
            </a:rPr>
            <a:t>Z 0,99=2,33 </a:t>
          </a:r>
          <a:r>
            <a:rPr lang="es-ES" sz="1100" b="1" i="0" u="none" strike="noStrike" baseline="0">
              <a:solidFill>
                <a:schemeClr val="tx1"/>
              </a:solidFill>
              <a:latin typeface="+mn-lt"/>
              <a:ea typeface="+mn-ea"/>
              <a:cs typeface="+mn-cs"/>
            </a:rPr>
            <a:t> ACCEPTEM</a:t>
          </a:r>
          <a:r>
            <a:rPr lang="es-ES" sz="1100" b="1" i="0" u="none" strike="noStrike">
              <a:solidFill>
                <a:schemeClr val="tx1"/>
              </a:solidFill>
              <a:latin typeface="+mn-lt"/>
              <a:ea typeface="+mn-ea"/>
              <a:cs typeface="+mn-cs"/>
            </a:rPr>
            <a:t> hipotesis nula  de que no hi ha diferencies entre les proporcions de </a:t>
          </a:r>
          <a:r>
            <a:rPr lang="es-ES" sz="1100" b="1" i="0" u="none" strike="noStrike" baseline="0">
              <a:solidFill>
                <a:schemeClr val="tx1"/>
              </a:solidFill>
              <a:latin typeface="+mn-lt"/>
              <a:ea typeface="+mn-ea"/>
              <a:cs typeface="+mn-cs"/>
            </a:rPr>
            <a:t> gent que te algun estudi</a:t>
          </a:r>
          <a:r>
            <a:rPr lang="es-ES" sz="1100" b="1" i="0" u="none" strike="noStrike">
              <a:solidFill>
                <a:schemeClr val="tx1"/>
              </a:solidFill>
              <a:latin typeface="+mn-lt"/>
              <a:ea typeface="+mn-ea"/>
              <a:cs typeface="+mn-cs"/>
            </a:rPr>
            <a:t>  dels FS I SFI</a:t>
          </a:r>
          <a:r>
            <a:rPr lang="es-ES" b="1"/>
            <a:t> </a:t>
          </a:r>
          <a:r>
            <a:rPr lang="es-ES" sz="1100" b="1" i="0" u="none" strike="noStrike">
              <a:solidFill>
                <a:schemeClr val="tx1"/>
              </a:solidFill>
              <a:latin typeface="+mn-lt"/>
              <a:ea typeface="+mn-ea"/>
              <a:cs typeface="+mn-cs"/>
            </a:rPr>
            <a:t>I que per tant es pot concluir que  tenir</a:t>
          </a:r>
          <a:r>
            <a:rPr lang="es-ES" sz="1100" b="1" i="0" u="none" strike="noStrike" baseline="0">
              <a:solidFill>
                <a:schemeClr val="tx1"/>
              </a:solidFill>
              <a:latin typeface="+mn-lt"/>
              <a:ea typeface="+mn-ea"/>
              <a:cs typeface="+mn-cs"/>
            </a:rPr>
            <a:t> algun estudi o no, NO </a:t>
          </a:r>
          <a:r>
            <a:rPr lang="es-ES" sz="1100" b="1" i="0" u="none" strike="noStrike">
              <a:solidFill>
                <a:schemeClr val="tx1"/>
              </a:solidFill>
              <a:latin typeface="+mn-lt"/>
              <a:ea typeface="+mn-ea"/>
              <a:cs typeface="+mn-cs"/>
            </a:rPr>
            <a:t> INFLUEIX </a:t>
          </a:r>
          <a:r>
            <a:rPr lang="es-ES" sz="1100" b="1" i="0" u="none" strike="noStrike" baseline="0">
              <a:solidFill>
                <a:schemeClr val="tx1"/>
              </a:solidFill>
              <a:latin typeface="+mn-lt"/>
              <a:ea typeface="+mn-ea"/>
              <a:cs typeface="+mn-cs"/>
            </a:rPr>
            <a:t> en </a:t>
          </a:r>
          <a:r>
            <a:rPr lang="es-ES" sz="1100" b="1" i="0" u="none" strike="noStrike">
              <a:solidFill>
                <a:schemeClr val="tx1"/>
              </a:solidFill>
              <a:latin typeface="+mn-lt"/>
              <a:ea typeface="+mn-ea"/>
              <a:cs typeface="+mn-cs"/>
            </a:rPr>
            <a:t> les possibilitats de ser food secure</a:t>
          </a:r>
          <a:r>
            <a:rPr lang="es-ES" b="1"/>
            <a:t> o</a:t>
          </a:r>
          <a:r>
            <a:rPr lang="es-ES" b="1" baseline="0"/>
            <a:t> SFI</a:t>
          </a:r>
          <a:endParaRPr lang="es-ES" b="1"/>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C1:X47"/>
  <sheetViews>
    <sheetView topLeftCell="A7" workbookViewId="0">
      <selection activeCell="E16" sqref="E16:X16"/>
    </sheetView>
  </sheetViews>
  <sheetFormatPr baseColWidth="10" defaultRowHeight="15"/>
  <cols>
    <col min="3" max="3" width="22" customWidth="1"/>
    <col min="10" max="10" width="12.5703125" customWidth="1"/>
    <col min="11" max="11" width="13.7109375" customWidth="1"/>
    <col min="12" max="12" width="13.140625" customWidth="1"/>
    <col min="13" max="13" width="13.28515625" customWidth="1"/>
    <col min="14" max="14" width="14.28515625" customWidth="1"/>
    <col min="16" max="16" width="14.5703125" customWidth="1"/>
  </cols>
  <sheetData>
    <row r="1" spans="3:24" ht="15.75" thickBot="1">
      <c r="E1" s="156" t="s">
        <v>20</v>
      </c>
      <c r="F1" s="157"/>
      <c r="G1" s="157"/>
      <c r="H1" s="158"/>
      <c r="J1" s="159" t="s">
        <v>28</v>
      </c>
      <c r="K1" s="159"/>
      <c r="L1" s="159"/>
      <c r="M1" s="159"/>
      <c r="N1" s="159"/>
      <c r="O1" s="159"/>
      <c r="P1" s="159"/>
      <c r="R1" s="156" t="s">
        <v>29</v>
      </c>
      <c r="S1" s="157"/>
      <c r="T1" s="157"/>
      <c r="U1" s="157"/>
      <c r="V1" s="157"/>
      <c r="W1" s="157"/>
      <c r="X1" s="158"/>
    </row>
    <row r="2" spans="3:24" ht="15.75" thickBot="1">
      <c r="E2" s="10" t="s">
        <v>13</v>
      </c>
      <c r="F2" s="10" t="s">
        <v>15</v>
      </c>
      <c r="G2" s="10" t="s">
        <v>16</v>
      </c>
      <c r="H2" s="15" t="s">
        <v>18</v>
      </c>
      <c r="J2" s="10" t="s">
        <v>21</v>
      </c>
      <c r="K2" s="15" t="s">
        <v>22</v>
      </c>
      <c r="L2" s="15" t="s">
        <v>23</v>
      </c>
      <c r="M2" s="15" t="s">
        <v>24</v>
      </c>
      <c r="N2" s="15" t="s">
        <v>25</v>
      </c>
      <c r="O2" s="15" t="s">
        <v>26</v>
      </c>
      <c r="P2" s="15" t="s">
        <v>27</v>
      </c>
      <c r="R2" s="9" t="s">
        <v>30</v>
      </c>
      <c r="S2" s="10" t="s">
        <v>31</v>
      </c>
      <c r="T2" s="19" t="s">
        <v>32</v>
      </c>
      <c r="U2" s="10" t="s">
        <v>33</v>
      </c>
      <c r="V2" s="19" t="s">
        <v>34</v>
      </c>
      <c r="W2" s="10" t="s">
        <v>35</v>
      </c>
      <c r="X2" s="20" t="s">
        <v>36</v>
      </c>
    </row>
    <row r="3" spans="3:24" ht="15.75" thickBot="1">
      <c r="C3" s="13" t="s">
        <v>0</v>
      </c>
      <c r="D3" s="14" t="s">
        <v>1</v>
      </c>
      <c r="E3" s="7"/>
      <c r="F3" s="7"/>
      <c r="G3" s="7"/>
      <c r="H3" s="7"/>
      <c r="J3" s="7"/>
      <c r="K3" s="7"/>
      <c r="L3" s="7"/>
      <c r="M3" s="7"/>
      <c r="N3" s="7"/>
      <c r="O3" s="7"/>
      <c r="P3" s="21"/>
      <c r="R3" s="2"/>
      <c r="S3" s="7"/>
      <c r="T3" s="23"/>
      <c r="U3" s="7"/>
      <c r="V3" s="23"/>
      <c r="W3" s="7"/>
      <c r="X3" s="3"/>
    </row>
    <row r="4" spans="3:24" ht="15.75" thickBot="1">
      <c r="C4" s="9" t="s">
        <v>2</v>
      </c>
      <c r="D4" s="10">
        <v>0.25</v>
      </c>
      <c r="E4" s="7"/>
      <c r="F4" s="7"/>
      <c r="G4" s="7"/>
      <c r="H4" s="7"/>
      <c r="J4" s="7"/>
      <c r="K4" s="7"/>
      <c r="L4" s="7"/>
      <c r="M4" s="7"/>
      <c r="N4" s="7"/>
      <c r="O4" s="7"/>
      <c r="P4" s="21"/>
      <c r="R4" s="2"/>
      <c r="S4" s="7"/>
      <c r="T4" s="23"/>
      <c r="U4" s="7"/>
      <c r="V4" s="23"/>
      <c r="W4" s="7"/>
      <c r="X4" s="3"/>
    </row>
    <row r="5" spans="3:24" ht="15.75" thickBot="1">
      <c r="C5" s="2" t="s">
        <v>3</v>
      </c>
      <c r="D5" s="7">
        <v>0.34</v>
      </c>
      <c r="E5" s="7"/>
      <c r="F5" s="7"/>
      <c r="G5" s="7"/>
      <c r="H5" s="7"/>
      <c r="J5" s="7"/>
      <c r="K5" s="7"/>
      <c r="L5" s="7"/>
      <c r="M5" s="7"/>
      <c r="N5" s="7"/>
      <c r="O5" s="7"/>
      <c r="P5" s="21"/>
      <c r="R5" s="2"/>
      <c r="S5" s="7"/>
      <c r="T5" s="23"/>
      <c r="U5" s="7"/>
      <c r="V5" s="23"/>
      <c r="W5" s="7"/>
      <c r="X5" s="3"/>
    </row>
    <row r="6" spans="3:24" ht="15.75" thickBot="1">
      <c r="C6" s="9" t="s">
        <v>4</v>
      </c>
      <c r="D6" s="10">
        <v>0.75</v>
      </c>
      <c r="E6" s="7">
        <f>D6*22</f>
        <v>16.5</v>
      </c>
      <c r="F6" s="7"/>
      <c r="G6" s="7"/>
      <c r="H6" s="7"/>
      <c r="J6" s="7"/>
      <c r="K6" s="7"/>
      <c r="L6" s="7"/>
      <c r="M6" s="7"/>
      <c r="N6" s="7"/>
      <c r="O6" s="7"/>
      <c r="P6" s="21"/>
      <c r="R6" s="2"/>
      <c r="S6" s="7"/>
      <c r="T6" s="23"/>
      <c r="U6" s="7"/>
      <c r="V6" s="23">
        <v>0.75</v>
      </c>
      <c r="W6" s="7"/>
      <c r="X6" s="3"/>
    </row>
    <row r="7" spans="3:24" ht="15.75" thickBot="1">
      <c r="C7" s="2" t="s">
        <v>5</v>
      </c>
      <c r="D7" s="7">
        <v>1</v>
      </c>
      <c r="E7" s="7">
        <f>D7*8</f>
        <v>8</v>
      </c>
      <c r="F7" s="7">
        <f>D7*6</f>
        <v>6</v>
      </c>
      <c r="G7" s="7">
        <f>D7*6</f>
        <v>6</v>
      </c>
      <c r="H7" s="7">
        <f>D7*3</f>
        <v>3</v>
      </c>
      <c r="J7" s="7"/>
      <c r="K7" s="7"/>
      <c r="L7" s="7"/>
      <c r="M7" s="7"/>
      <c r="N7" s="7">
        <f>D7</f>
        <v>1</v>
      </c>
      <c r="O7" s="7">
        <v>1</v>
      </c>
      <c r="P7" s="21">
        <v>2</v>
      </c>
      <c r="R7" s="2"/>
      <c r="S7" s="7"/>
      <c r="T7" s="23"/>
      <c r="U7" s="7"/>
      <c r="V7" s="23">
        <v>2</v>
      </c>
      <c r="W7" s="7"/>
      <c r="X7" s="3">
        <v>1</v>
      </c>
    </row>
    <row r="8" spans="3:24" ht="15.75" thickBot="1">
      <c r="C8" s="9" t="s">
        <v>6</v>
      </c>
      <c r="D8" s="10">
        <v>1.1000000000000001</v>
      </c>
      <c r="E8" s="7"/>
      <c r="F8" s="7"/>
      <c r="G8" s="7"/>
      <c r="H8" s="7"/>
      <c r="J8" s="7"/>
      <c r="K8" s="7"/>
      <c r="L8" s="7"/>
      <c r="M8" s="7"/>
      <c r="N8" s="7"/>
      <c r="O8" s="7"/>
      <c r="P8" s="21"/>
      <c r="R8" s="2"/>
      <c r="S8" s="7"/>
      <c r="T8" s="23"/>
      <c r="U8" s="7"/>
      <c r="V8" s="23"/>
      <c r="W8" s="7"/>
      <c r="X8" s="3"/>
    </row>
    <row r="9" spans="3:24" ht="15.75" thickBot="1">
      <c r="C9" s="2" t="s">
        <v>7</v>
      </c>
      <c r="D9" s="7">
        <v>0.7</v>
      </c>
      <c r="E9" s="7"/>
      <c r="F9" s="7"/>
      <c r="G9" s="7"/>
      <c r="H9" s="7"/>
      <c r="J9" s="7"/>
      <c r="K9" s="7"/>
      <c r="L9" s="7"/>
      <c r="M9" s="7">
        <f>D9*1</f>
        <v>0.7</v>
      </c>
      <c r="N9" s="7"/>
      <c r="O9" s="7"/>
      <c r="P9" s="21"/>
      <c r="R9" s="2"/>
      <c r="S9" s="7"/>
      <c r="T9" s="23"/>
      <c r="U9" s="7"/>
      <c r="V9" s="23"/>
      <c r="W9" s="7"/>
      <c r="X9" s="3"/>
    </row>
    <row r="10" spans="3:24" ht="15.75" thickBot="1">
      <c r="C10" s="9" t="s">
        <v>8</v>
      </c>
      <c r="D10" s="10">
        <v>0.35</v>
      </c>
      <c r="E10" s="7"/>
      <c r="F10" s="7"/>
      <c r="G10" s="7"/>
      <c r="H10" s="7"/>
      <c r="J10" s="7"/>
      <c r="K10" s="7"/>
      <c r="L10" s="7"/>
      <c r="M10" s="7"/>
      <c r="N10" s="7"/>
      <c r="O10" s="7"/>
      <c r="P10" s="21"/>
      <c r="R10" s="2"/>
      <c r="S10" s="7"/>
      <c r="T10" s="23"/>
      <c r="U10" s="7"/>
      <c r="V10" s="23"/>
      <c r="W10" s="7"/>
      <c r="X10" s="3"/>
    </row>
    <row r="11" spans="3:24" ht="15.75" thickBot="1">
      <c r="C11" s="2" t="s">
        <v>9</v>
      </c>
      <c r="D11" s="7">
        <v>1.25</v>
      </c>
      <c r="E11" s="7"/>
      <c r="F11" s="7"/>
      <c r="G11" s="7"/>
      <c r="H11" s="7"/>
      <c r="J11" s="7"/>
      <c r="K11" s="7"/>
      <c r="L11" s="7"/>
      <c r="M11" s="7"/>
      <c r="N11" s="7"/>
      <c r="O11" s="7"/>
      <c r="P11" s="21"/>
      <c r="R11" s="2"/>
      <c r="S11" s="7"/>
      <c r="T11" s="23"/>
      <c r="U11" s="7"/>
      <c r="V11" s="23"/>
      <c r="W11" s="7"/>
      <c r="X11" s="3"/>
    </row>
    <row r="12" spans="3:24" ht="15.75" thickBot="1">
      <c r="C12" s="9" t="s">
        <v>10</v>
      </c>
      <c r="D12" s="10">
        <v>0.13</v>
      </c>
      <c r="E12" s="7"/>
      <c r="F12" s="7">
        <f>D12*2</f>
        <v>0.26</v>
      </c>
      <c r="G12" s="7">
        <f>D12*5</f>
        <v>0.65</v>
      </c>
      <c r="H12" s="7">
        <f>D12*3</f>
        <v>0.39</v>
      </c>
      <c r="J12" s="7"/>
      <c r="K12" s="7"/>
      <c r="L12" s="7">
        <f>D12*3</f>
        <v>0.39</v>
      </c>
      <c r="M12" s="7"/>
      <c r="N12" s="7"/>
      <c r="O12" s="7"/>
      <c r="P12" s="21"/>
      <c r="R12" s="2"/>
      <c r="S12" s="7"/>
      <c r="T12" s="23"/>
      <c r="U12" s="7"/>
      <c r="V12" s="23"/>
      <c r="W12" s="7"/>
      <c r="X12" s="3"/>
    </row>
    <row r="13" spans="3:24" ht="15.75" thickBot="1">
      <c r="C13" s="2" t="s">
        <v>11</v>
      </c>
      <c r="D13" s="7">
        <v>0.06</v>
      </c>
      <c r="E13" s="7"/>
      <c r="F13" s="7"/>
      <c r="G13" s="7"/>
      <c r="H13" s="7"/>
      <c r="J13" s="7"/>
      <c r="K13" s="7"/>
      <c r="L13" s="7"/>
      <c r="M13" s="7"/>
      <c r="N13" s="7"/>
      <c r="O13" s="7"/>
      <c r="P13" s="21"/>
      <c r="R13" s="2"/>
      <c r="S13" s="7"/>
      <c r="T13" s="23"/>
      <c r="U13" s="7"/>
      <c r="V13" s="23"/>
      <c r="W13" s="7"/>
      <c r="X13" s="3"/>
    </row>
    <row r="14" spans="3:24" ht="15.75" thickBot="1">
      <c r="C14" s="9" t="s">
        <v>12</v>
      </c>
      <c r="D14" s="10">
        <v>1.2999999999999999E-3</v>
      </c>
      <c r="E14" s="8"/>
      <c r="F14" s="8">
        <f>D14*6</f>
        <v>7.7999999999999996E-3</v>
      </c>
      <c r="G14" s="8">
        <f>D14*5</f>
        <v>6.4999999999999997E-3</v>
      </c>
      <c r="H14" s="8">
        <f>D14*15</f>
        <v>1.95E-2</v>
      </c>
      <c r="J14" s="8"/>
      <c r="K14" s="8">
        <f>D14*8</f>
        <v>1.04E-2</v>
      </c>
      <c r="L14" s="8">
        <f>D14*4</f>
        <v>5.1999999999999998E-3</v>
      </c>
      <c r="M14" s="8"/>
      <c r="N14" s="8"/>
      <c r="O14" s="8"/>
      <c r="P14" s="22">
        <v>1.2999999999999999E-3</v>
      </c>
      <c r="R14" s="4"/>
      <c r="S14" s="8">
        <v>1.2999999999999999E-3</v>
      </c>
      <c r="T14" s="24"/>
      <c r="U14" s="8">
        <v>1.2999999999999999E-3</v>
      </c>
      <c r="V14" s="24"/>
      <c r="W14" s="8"/>
      <c r="X14" s="5"/>
    </row>
    <row r="15" spans="3:24" ht="15.75" thickBot="1"/>
    <row r="16" spans="3:24" ht="15.75" thickBot="1">
      <c r="D16" s="12" t="s">
        <v>14</v>
      </c>
      <c r="E16" s="19">
        <f>SUM(E3:E14)</f>
        <v>24.5</v>
      </c>
      <c r="F16" s="19">
        <f t="shared" ref="F16:X16" si="0">SUM(F3:F14)</f>
        <v>6.2677999999999994</v>
      </c>
      <c r="G16" s="19">
        <f t="shared" si="0"/>
        <v>6.6565000000000003</v>
      </c>
      <c r="H16" s="19">
        <f t="shared" si="0"/>
        <v>3.4095</v>
      </c>
      <c r="I16" s="10"/>
      <c r="J16" s="19">
        <f t="shared" si="0"/>
        <v>0</v>
      </c>
      <c r="K16" s="19">
        <f t="shared" si="0"/>
        <v>1.04E-2</v>
      </c>
      <c r="L16" s="19">
        <f t="shared" si="0"/>
        <v>0.3952</v>
      </c>
      <c r="M16" s="19">
        <f t="shared" si="0"/>
        <v>0.7</v>
      </c>
      <c r="N16" s="19">
        <f t="shared" si="0"/>
        <v>1</v>
      </c>
      <c r="O16" s="19">
        <f t="shared" si="0"/>
        <v>1</v>
      </c>
      <c r="P16" s="19">
        <f t="shared" si="0"/>
        <v>2.0013000000000001</v>
      </c>
      <c r="Q16" s="10"/>
      <c r="R16" s="19">
        <f t="shared" si="0"/>
        <v>0</v>
      </c>
      <c r="S16" s="19">
        <f t="shared" si="0"/>
        <v>1.2999999999999999E-3</v>
      </c>
      <c r="T16" s="19">
        <f t="shared" si="0"/>
        <v>0</v>
      </c>
      <c r="U16" s="19">
        <f t="shared" si="0"/>
        <v>1.2999999999999999E-3</v>
      </c>
      <c r="V16" s="19">
        <f t="shared" si="0"/>
        <v>2.75</v>
      </c>
      <c r="W16" s="19">
        <f t="shared" si="0"/>
        <v>0</v>
      </c>
      <c r="X16" s="20">
        <f t="shared" si="0"/>
        <v>1</v>
      </c>
    </row>
    <row r="17" spans="4:21" ht="15.75" thickBot="1">
      <c r="E17" t="s">
        <v>17</v>
      </c>
      <c r="F17" t="s">
        <v>17</v>
      </c>
      <c r="G17" t="s">
        <v>17</v>
      </c>
      <c r="H17" t="s">
        <v>17</v>
      </c>
    </row>
    <row r="18" spans="4:21" ht="15.75" thickBot="1">
      <c r="D18" s="156" t="s">
        <v>91</v>
      </c>
      <c r="E18" s="157"/>
      <c r="F18" s="158"/>
      <c r="G18" s="12">
        <f>(SUM(E16:X16))/18</f>
        <v>2.7607388888888895</v>
      </c>
    </row>
    <row r="19" spans="4:21" ht="15.75" thickBot="1">
      <c r="D19" s="16" t="s">
        <v>19</v>
      </c>
      <c r="E19" s="17"/>
      <c r="F19" s="18"/>
      <c r="G19" s="12">
        <f>(E16+F16+G16+H16)/4</f>
        <v>10.208450000000001</v>
      </c>
      <c r="J19" s="156" t="s">
        <v>37</v>
      </c>
      <c r="K19" s="157"/>
      <c r="L19" s="158"/>
      <c r="M19" s="11">
        <f>(SUM(J16:P16))/7</f>
        <v>0.72955714285714279</v>
      </c>
      <c r="R19" s="156" t="s">
        <v>38</v>
      </c>
      <c r="S19" s="157"/>
      <c r="T19" s="158"/>
      <c r="U19">
        <f>(SUM(R16:X16))/7</f>
        <v>0.53608571428571428</v>
      </c>
    </row>
    <row r="20" spans="4:21" ht="15.75" thickBot="1">
      <c r="D20" s="9" t="s">
        <v>390</v>
      </c>
      <c r="E20" s="19"/>
      <c r="F20" s="19"/>
      <c r="G20" s="20">
        <f>14/18*100</f>
        <v>77.777777777777786</v>
      </c>
    </row>
    <row r="22" spans="4:21" ht="15.75" thickBot="1"/>
    <row r="23" spans="4:21" ht="15.75" thickBot="1">
      <c r="F23" s="62" t="s">
        <v>352</v>
      </c>
      <c r="G23" s="61"/>
    </row>
    <row r="24" spans="4:21" ht="15.75" thickBot="1">
      <c r="E24" s="58" t="s">
        <v>355</v>
      </c>
      <c r="F24" s="61">
        <f>SUM(J28:L34)</f>
        <v>573.49276978277771</v>
      </c>
    </row>
    <row r="25" spans="4:21" ht="15.75" thickBot="1">
      <c r="E25" t="s">
        <v>354</v>
      </c>
      <c r="G25">
        <f>G18</f>
        <v>2.7607388888888895</v>
      </c>
    </row>
    <row r="26" spans="4:21" ht="15.75" thickBot="1">
      <c r="E26" s="160" t="s">
        <v>356</v>
      </c>
      <c r="F26" s="161"/>
      <c r="G26" s="161"/>
      <c r="H26" s="162"/>
      <c r="J26" s="160" t="s">
        <v>357</v>
      </c>
      <c r="K26" s="161"/>
      <c r="L26" s="162"/>
    </row>
    <row r="27" spans="4:21" ht="15.75" thickBot="1">
      <c r="E27" s="1"/>
      <c r="F27" s="10" t="s">
        <v>17</v>
      </c>
      <c r="G27" s="10" t="s">
        <v>327</v>
      </c>
      <c r="H27" s="20" t="s">
        <v>328</v>
      </c>
      <c r="J27" s="10" t="s">
        <v>17</v>
      </c>
      <c r="K27" s="10" t="s">
        <v>327</v>
      </c>
      <c r="L27" s="20" t="s">
        <v>328</v>
      </c>
    </row>
    <row r="28" spans="4:21">
      <c r="E28" s="2" t="s">
        <v>370</v>
      </c>
      <c r="F28" s="7">
        <f>E16-G25</f>
        <v>21.739261111111112</v>
      </c>
      <c r="G28" s="7">
        <f>J16-G25</f>
        <v>-2.7607388888888895</v>
      </c>
      <c r="H28" s="3">
        <f>R16-G18</f>
        <v>-2.7607388888888895</v>
      </c>
      <c r="J28">
        <f>F28*F28</f>
        <v>472.59547365706794</v>
      </c>
      <c r="K28">
        <f>G28*G28</f>
        <v>7.6216792126234605</v>
      </c>
      <c r="L28">
        <f>H28*H28</f>
        <v>7.6216792126234605</v>
      </c>
    </row>
    <row r="29" spans="4:21">
      <c r="E29" s="2" t="s">
        <v>370</v>
      </c>
      <c r="F29" s="7">
        <f>F16-G25</f>
        <v>3.5070611111111099</v>
      </c>
      <c r="G29" s="7">
        <f>K16-G25</f>
        <v>-2.7503388888888893</v>
      </c>
      <c r="H29" s="3">
        <f>S16-G18</f>
        <v>-2.7594388888888894</v>
      </c>
      <c r="J29">
        <f t="shared" ref="J29:J31" si="1">F29*F29</f>
        <v>12.299477637067893</v>
      </c>
      <c r="K29">
        <f t="shared" ref="K29:K34" si="2">G29*G29</f>
        <v>7.5643640037345703</v>
      </c>
      <c r="L29">
        <f t="shared" ref="L29:L34" si="3">H29*H29</f>
        <v>7.6145029815123486</v>
      </c>
    </row>
    <row r="30" spans="4:21">
      <c r="E30" s="2" t="s">
        <v>370</v>
      </c>
      <c r="F30" s="7">
        <f>G16-G25</f>
        <v>3.8957611111111108</v>
      </c>
      <c r="G30" s="7">
        <f>L16-G25</f>
        <v>-2.3655388888888895</v>
      </c>
      <c r="H30" s="3">
        <f>T16-G25</f>
        <v>-2.7607388888888895</v>
      </c>
      <c r="J30">
        <f t="shared" si="1"/>
        <v>15.176954634845677</v>
      </c>
      <c r="K30">
        <f t="shared" si="2"/>
        <v>5.595774234845682</v>
      </c>
      <c r="L30">
        <f t="shared" si="3"/>
        <v>7.6216792126234605</v>
      </c>
    </row>
    <row r="31" spans="4:21">
      <c r="E31" s="2" t="s">
        <v>370</v>
      </c>
      <c r="F31" s="7">
        <f>H16-G25</f>
        <v>0.64876111111111046</v>
      </c>
      <c r="G31" s="7">
        <f>M16-G25</f>
        <v>-2.0607388888888893</v>
      </c>
      <c r="H31" s="3">
        <f>U16-G18</f>
        <v>-2.7594388888888894</v>
      </c>
      <c r="J31">
        <f t="shared" si="1"/>
        <v>0.42089097929012259</v>
      </c>
      <c r="K31">
        <f t="shared" si="2"/>
        <v>4.2466447681790145</v>
      </c>
      <c r="L31">
        <f t="shared" si="3"/>
        <v>7.6145029815123486</v>
      </c>
    </row>
    <row r="32" spans="4:21">
      <c r="E32" s="2" t="s">
        <v>370</v>
      </c>
      <c r="F32" s="7"/>
      <c r="G32" s="7">
        <f>N16-G18</f>
        <v>-1.7607388888888895</v>
      </c>
      <c r="H32" s="3">
        <f>V16-G18</f>
        <v>-1.073888888888952E-2</v>
      </c>
      <c r="K32">
        <f t="shared" si="2"/>
        <v>3.1002014348456814</v>
      </c>
      <c r="L32">
        <f t="shared" si="3"/>
        <v>1.1532373456791478E-4</v>
      </c>
    </row>
    <row r="33" spans="5:15">
      <c r="E33" s="2" t="s">
        <v>370</v>
      </c>
      <c r="F33" s="7"/>
      <c r="G33" s="7">
        <f>O16-G18</f>
        <v>-1.7607388888888895</v>
      </c>
      <c r="H33" s="3">
        <f>H28</f>
        <v>-2.7607388888888895</v>
      </c>
      <c r="K33">
        <f t="shared" si="2"/>
        <v>3.1002014348456814</v>
      </c>
      <c r="L33">
        <f t="shared" si="3"/>
        <v>7.6216792126234605</v>
      </c>
    </row>
    <row r="34" spans="5:15" ht="15.75" thickBot="1">
      <c r="E34" s="2" t="s">
        <v>370</v>
      </c>
      <c r="F34" s="8"/>
      <c r="G34" s="8">
        <f>P16-G18</f>
        <v>-0.75943888888888944</v>
      </c>
      <c r="H34" s="5">
        <f>X16-G18</f>
        <v>-1.7607388888888895</v>
      </c>
      <c r="K34">
        <f t="shared" si="2"/>
        <v>0.57674742595679096</v>
      </c>
      <c r="L34">
        <f t="shared" si="3"/>
        <v>3.1002014348456814</v>
      </c>
    </row>
    <row r="35" spans="5:15" ht="15.75" thickBot="1"/>
    <row r="36" spans="5:15" ht="15.75" thickBot="1">
      <c r="E36" s="58" t="s">
        <v>358</v>
      </c>
      <c r="F36" s="61">
        <f>F41+G41+H41</f>
        <v>285.39707040706355</v>
      </c>
    </row>
    <row r="37" spans="5:15" ht="15.75" thickBot="1">
      <c r="E37" s="63"/>
      <c r="F37" s="65" t="s">
        <v>17</v>
      </c>
      <c r="G37" s="66" t="s">
        <v>327</v>
      </c>
      <c r="H37" s="65" t="s">
        <v>328</v>
      </c>
      <c r="I37" s="64"/>
      <c r="J37" s="37"/>
      <c r="K37" s="163"/>
      <c r="L37" s="163"/>
    </row>
    <row r="38" spans="5:15" ht="15.75" thickBot="1">
      <c r="E38" s="2" t="s">
        <v>370</v>
      </c>
      <c r="F38" s="15">
        <f>G19</f>
        <v>10.208450000000001</v>
      </c>
      <c r="G38" s="15">
        <f>M19</f>
        <v>0.72955714285714279</v>
      </c>
      <c r="H38" s="22">
        <f>U19</f>
        <v>0.53608571428571428</v>
      </c>
      <c r="I38" s="37"/>
      <c r="J38" s="37"/>
      <c r="K38" s="64"/>
      <c r="L38" s="37"/>
    </row>
    <row r="39" spans="5:15" ht="15.75" thickBot="1">
      <c r="E39" s="64" t="s">
        <v>359</v>
      </c>
      <c r="F39">
        <f>F38-G25</f>
        <v>7.4477111111111114</v>
      </c>
      <c r="G39">
        <f>G38-G25</f>
        <v>-2.0311817460317467</v>
      </c>
      <c r="H39">
        <f>H38-G25</f>
        <v>-2.2246531746031755</v>
      </c>
    </row>
    <row r="40" spans="5:15" ht="15.75" thickBot="1">
      <c r="E40" s="64" t="s">
        <v>360</v>
      </c>
      <c r="F40">
        <f>F39*F39</f>
        <v>55.468400794567906</v>
      </c>
      <c r="G40">
        <f t="shared" ref="G40:H40" si="4">G39*G39</f>
        <v>4.1256992854125754</v>
      </c>
      <c r="H40">
        <f t="shared" si="4"/>
        <v>4.949081747271987</v>
      </c>
      <c r="M40" s="156" t="s">
        <v>379</v>
      </c>
      <c r="N40" s="157"/>
      <c r="O40" s="158"/>
    </row>
    <row r="41" spans="5:15" ht="15.75" thickBot="1">
      <c r="E41" s="64" t="s">
        <v>361</v>
      </c>
      <c r="F41">
        <f>F40*4</f>
        <v>221.87360317827162</v>
      </c>
      <c r="G41">
        <f>G40*7</f>
        <v>28.879894997888027</v>
      </c>
      <c r="H41">
        <f>H40*7</f>
        <v>34.643572230903906</v>
      </c>
      <c r="L41" s="12" t="s">
        <v>389</v>
      </c>
      <c r="M41" s="19" t="s">
        <v>380</v>
      </c>
      <c r="N41" s="10" t="s">
        <v>381</v>
      </c>
      <c r="O41" s="20" t="s">
        <v>382</v>
      </c>
    </row>
    <row r="42" spans="5:15" ht="15.75" thickBot="1">
      <c r="L42" s="49" t="s">
        <v>384</v>
      </c>
      <c r="M42" s="68">
        <f>G19</f>
        <v>10.208450000000001</v>
      </c>
      <c r="N42" s="49">
        <f>M19</f>
        <v>0.72955714285714279</v>
      </c>
      <c r="O42" s="49">
        <f>U19</f>
        <v>0.53608571428571428</v>
      </c>
    </row>
    <row r="43" spans="5:15" ht="15.75" thickBot="1">
      <c r="E43" s="31" t="s">
        <v>362</v>
      </c>
      <c r="F43" s="32"/>
      <c r="G43" s="32"/>
      <c r="H43" s="32"/>
      <c r="I43" s="18"/>
      <c r="L43" s="15" t="s">
        <v>385</v>
      </c>
      <c r="M43" s="19">
        <f>STDEV(E16:H16)</f>
        <v>9.6370672186441961</v>
      </c>
      <c r="N43" s="20">
        <f>STDEV(J16:P16)</f>
        <v>0.6982976343869971</v>
      </c>
      <c r="O43" s="20">
        <f>STDEV(R16:X16)</f>
        <v>1.0448913921688567</v>
      </c>
    </row>
    <row r="44" spans="5:15" ht="15.75" thickBot="1">
      <c r="E44" s="2" t="s">
        <v>363</v>
      </c>
      <c r="F44" s="23" t="s">
        <v>364</v>
      </c>
      <c r="G44" s="23" t="s">
        <v>365</v>
      </c>
      <c r="H44" s="23" t="s">
        <v>366</v>
      </c>
      <c r="I44" s="3" t="s">
        <v>367</v>
      </c>
      <c r="L44" s="15" t="s">
        <v>387</v>
      </c>
      <c r="M44" s="154">
        <f>I45</f>
        <v>7.4297465484256184</v>
      </c>
      <c r="N44" s="154"/>
      <c r="O44" s="155"/>
    </row>
    <row r="45" spans="5:15" ht="15.75" thickBot="1">
      <c r="E45" s="2" t="s">
        <v>368</v>
      </c>
      <c r="F45" s="23">
        <f>F36</f>
        <v>285.39707040706355</v>
      </c>
      <c r="G45" s="23">
        <v>2</v>
      </c>
      <c r="H45" s="23">
        <f>F45/G45</f>
        <v>142.69853520353178</v>
      </c>
      <c r="I45" s="3">
        <f>H45/H46</f>
        <v>7.4297465484256184</v>
      </c>
      <c r="L45" s="22" t="s">
        <v>386</v>
      </c>
      <c r="M45" s="154">
        <f>I47</f>
        <v>5.7222418903622278E-3</v>
      </c>
      <c r="N45" s="154"/>
      <c r="O45" s="155"/>
    </row>
    <row r="46" spans="5:15">
      <c r="E46" s="2" t="s">
        <v>369</v>
      </c>
      <c r="F46" s="23">
        <f>F47-F45</f>
        <v>288.09569937571416</v>
      </c>
      <c r="G46" s="23">
        <v>15</v>
      </c>
      <c r="H46" s="23">
        <f>F46/G46</f>
        <v>19.206379958380943</v>
      </c>
      <c r="I46" s="3"/>
    </row>
    <row r="47" spans="5:15" ht="15.75" thickBot="1">
      <c r="E47" s="4" t="s">
        <v>78</v>
      </c>
      <c r="F47" s="24">
        <f>F24</f>
        <v>573.49276978277771</v>
      </c>
      <c r="G47" s="24">
        <v>17</v>
      </c>
      <c r="H47" s="24"/>
      <c r="I47" s="67">
        <f>FDIST(I45,G45,G46)</f>
        <v>5.7222418903622278E-3</v>
      </c>
    </row>
  </sheetData>
  <mergeCells count="12">
    <mergeCell ref="E1:H1"/>
    <mergeCell ref="J1:P1"/>
    <mergeCell ref="D18:F18"/>
    <mergeCell ref="M40:O40"/>
    <mergeCell ref="E26:H26"/>
    <mergeCell ref="J26:L26"/>
    <mergeCell ref="K37:L37"/>
    <mergeCell ref="M44:O44"/>
    <mergeCell ref="M45:O45"/>
    <mergeCell ref="R1:X1"/>
    <mergeCell ref="J19:L19"/>
    <mergeCell ref="R19:T1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B2:X46"/>
  <sheetViews>
    <sheetView topLeftCell="G1" workbookViewId="0">
      <selection activeCell="D5" sqref="D5:X5"/>
    </sheetView>
  </sheetViews>
  <sheetFormatPr baseColWidth="10" defaultRowHeight="15"/>
  <cols>
    <col min="2" max="2" width="9" customWidth="1"/>
    <col min="3" max="3" width="27.7109375" customWidth="1"/>
  </cols>
  <sheetData>
    <row r="2" spans="2:24" ht="15.75" thickBot="1"/>
    <row r="3" spans="2:24" ht="15.75" thickBot="1">
      <c r="D3" s="156" t="s">
        <v>20</v>
      </c>
      <c r="E3" s="157"/>
      <c r="F3" s="157"/>
      <c r="G3" s="158"/>
      <c r="J3" s="156" t="s">
        <v>28</v>
      </c>
      <c r="K3" s="157"/>
      <c r="L3" s="157"/>
      <c r="M3" s="157"/>
      <c r="N3" s="157"/>
      <c r="O3" s="157"/>
      <c r="P3" s="158"/>
      <c r="R3" s="156" t="s">
        <v>29</v>
      </c>
      <c r="S3" s="157"/>
      <c r="T3" s="157"/>
      <c r="U3" s="157"/>
      <c r="V3" s="157"/>
      <c r="W3" s="157"/>
      <c r="X3" s="158"/>
    </row>
    <row r="4" spans="2:24" ht="15.75" thickBot="1">
      <c r="D4" s="10" t="s">
        <v>13</v>
      </c>
      <c r="E4" s="10" t="s">
        <v>15</v>
      </c>
      <c r="F4" s="10" t="s">
        <v>16</v>
      </c>
      <c r="G4" s="15" t="s">
        <v>18</v>
      </c>
      <c r="J4" s="10" t="s">
        <v>21</v>
      </c>
      <c r="K4" s="15" t="s">
        <v>22</v>
      </c>
      <c r="L4" s="15" t="s">
        <v>23</v>
      </c>
      <c r="M4" s="15" t="s">
        <v>24</v>
      </c>
      <c r="N4" s="15" t="s">
        <v>25</v>
      </c>
      <c r="O4" s="15" t="s">
        <v>26</v>
      </c>
      <c r="P4" s="15" t="s">
        <v>27</v>
      </c>
      <c r="R4" s="9" t="s">
        <v>30</v>
      </c>
      <c r="S4" s="10" t="s">
        <v>31</v>
      </c>
      <c r="T4" s="19" t="s">
        <v>32</v>
      </c>
      <c r="U4" s="10" t="s">
        <v>33</v>
      </c>
      <c r="V4" s="19" t="s">
        <v>34</v>
      </c>
      <c r="W4" s="10" t="s">
        <v>35</v>
      </c>
      <c r="X4" s="20" t="s">
        <v>36</v>
      </c>
    </row>
    <row r="5" spans="2:24">
      <c r="D5">
        <v>41857</v>
      </c>
      <c r="E5">
        <v>56889</v>
      </c>
      <c r="F5">
        <v>3517</v>
      </c>
      <c r="G5">
        <v>2639.75</v>
      </c>
      <c r="J5">
        <v>679</v>
      </c>
      <c r="K5">
        <v>1891</v>
      </c>
      <c r="L5">
        <v>1187</v>
      </c>
      <c r="M5">
        <v>1203</v>
      </c>
      <c r="N5">
        <v>4648</v>
      </c>
      <c r="O5">
        <v>3523</v>
      </c>
      <c r="P5">
        <v>868</v>
      </c>
      <c r="R5">
        <v>3605</v>
      </c>
      <c r="S5">
        <v>354</v>
      </c>
      <c r="T5">
        <v>1954</v>
      </c>
      <c r="U5">
        <v>993</v>
      </c>
      <c r="V5">
        <v>8134</v>
      </c>
      <c r="W5">
        <v>20</v>
      </c>
      <c r="X5">
        <v>881</v>
      </c>
    </row>
    <row r="6" spans="2:24">
      <c r="C6" t="s">
        <v>215</v>
      </c>
      <c r="D6" t="s">
        <v>225</v>
      </c>
      <c r="E6" t="s">
        <v>224</v>
      </c>
      <c r="F6">
        <v>3517</v>
      </c>
      <c r="G6">
        <v>2639.75</v>
      </c>
      <c r="J6">
        <v>679</v>
      </c>
      <c r="K6">
        <v>1891</v>
      </c>
      <c r="L6">
        <v>1187</v>
      </c>
      <c r="M6">
        <v>1203</v>
      </c>
      <c r="N6" t="s">
        <v>240</v>
      </c>
      <c r="O6" t="s">
        <v>231</v>
      </c>
      <c r="P6">
        <v>868</v>
      </c>
      <c r="R6" t="s">
        <v>260</v>
      </c>
      <c r="S6">
        <v>354</v>
      </c>
      <c r="T6">
        <v>1954</v>
      </c>
      <c r="U6">
        <v>993</v>
      </c>
      <c r="V6" t="s">
        <v>261</v>
      </c>
      <c r="W6">
        <v>20</v>
      </c>
      <c r="X6">
        <v>881</v>
      </c>
    </row>
    <row r="7" spans="2:24">
      <c r="C7" t="s">
        <v>216</v>
      </c>
      <c r="D7">
        <v>2820</v>
      </c>
      <c r="E7">
        <v>400</v>
      </c>
      <c r="F7">
        <v>490</v>
      </c>
      <c r="G7">
        <v>650</v>
      </c>
      <c r="J7">
        <v>180</v>
      </c>
      <c r="K7">
        <v>600</v>
      </c>
      <c r="L7">
        <v>920</v>
      </c>
      <c r="M7">
        <v>669</v>
      </c>
      <c r="N7">
        <v>750</v>
      </c>
      <c r="O7">
        <v>150</v>
      </c>
      <c r="P7">
        <v>600</v>
      </c>
      <c r="R7">
        <v>400</v>
      </c>
      <c r="S7">
        <v>300</v>
      </c>
      <c r="T7">
        <v>800</v>
      </c>
      <c r="U7">
        <v>124</v>
      </c>
      <c r="V7">
        <v>180</v>
      </c>
      <c r="W7">
        <v>0</v>
      </c>
      <c r="X7">
        <v>240</v>
      </c>
    </row>
    <row r="8" spans="2:24">
      <c r="C8" t="s">
        <v>311</v>
      </c>
      <c r="D8">
        <f>(2820/41857)*100</f>
        <v>6.7372243591275058</v>
      </c>
      <c r="E8">
        <f>(400/56889)*100</f>
        <v>0.70312362671166662</v>
      </c>
      <c r="F8">
        <f>(F7/F6)*100</f>
        <v>13.93232868922377</v>
      </c>
      <c r="G8">
        <f>(G7/G6)*100</f>
        <v>24.623543896202289</v>
      </c>
      <c r="J8">
        <f t="shared" ref="J8:X8" si="0">(J7/J6)*100</f>
        <v>26.50957290132548</v>
      </c>
      <c r="K8">
        <f t="shared" si="0"/>
        <v>31.729243786356427</v>
      </c>
      <c r="L8">
        <f t="shared" si="0"/>
        <v>77.506318449873632</v>
      </c>
      <c r="M8">
        <f t="shared" si="0"/>
        <v>55.610972568578553</v>
      </c>
      <c r="N8">
        <f>(N7/4648)*100</f>
        <v>16.135972461273663</v>
      </c>
      <c r="O8">
        <f>(O7/3523)*100</f>
        <v>4.2577348850411578</v>
      </c>
      <c r="P8">
        <f t="shared" si="0"/>
        <v>69.124423963133637</v>
      </c>
      <c r="R8">
        <f>(R7/3605)*100</f>
        <v>11.095700416088766</v>
      </c>
      <c r="S8">
        <f t="shared" si="0"/>
        <v>84.745762711864401</v>
      </c>
      <c r="T8">
        <f t="shared" si="0"/>
        <v>40.941658137154555</v>
      </c>
      <c r="U8">
        <f t="shared" si="0"/>
        <v>12.487411883182276</v>
      </c>
      <c r="V8">
        <f>(V7/8134)*100</f>
        <v>2.2129333661175314</v>
      </c>
      <c r="W8">
        <f t="shared" si="0"/>
        <v>0</v>
      </c>
      <c r="X8">
        <f t="shared" si="0"/>
        <v>27.241770715096479</v>
      </c>
    </row>
    <row r="11" spans="2:24" ht="15.75" thickBot="1"/>
    <row r="12" spans="2:24" ht="15.75" thickBot="1">
      <c r="B12" s="156" t="s">
        <v>275</v>
      </c>
      <c r="C12" s="157"/>
      <c r="D12" s="157"/>
      <c r="E12" s="158"/>
      <c r="G12" s="156" t="s">
        <v>197</v>
      </c>
      <c r="H12" s="157"/>
      <c r="I12" s="157"/>
      <c r="J12" s="158"/>
      <c r="L12" s="156" t="s">
        <v>309</v>
      </c>
      <c r="M12" s="157"/>
      <c r="N12" s="157"/>
      <c r="O12" s="158"/>
      <c r="S12" s="156" t="s">
        <v>199</v>
      </c>
      <c r="T12" s="157"/>
      <c r="U12" s="157"/>
      <c r="V12" s="158"/>
    </row>
    <row r="13" spans="2:24">
      <c r="B13" s="2"/>
      <c r="C13" s="23"/>
      <c r="D13" s="23"/>
      <c r="E13" s="3"/>
      <c r="G13" s="2"/>
      <c r="H13" s="23"/>
      <c r="I13" s="23"/>
      <c r="J13" s="3"/>
      <c r="L13" s="2"/>
      <c r="M13" s="23"/>
      <c r="N13" s="23"/>
      <c r="O13" s="3"/>
      <c r="S13" s="2"/>
      <c r="T13" s="23"/>
      <c r="U13" s="23"/>
      <c r="V13" s="3"/>
    </row>
    <row r="14" spans="2:24">
      <c r="B14" s="2" t="s">
        <v>312</v>
      </c>
      <c r="C14" s="23"/>
      <c r="D14" s="23">
        <f>(SUM(D5:X5))/18</f>
        <v>7491.2638888888887</v>
      </c>
      <c r="E14" s="3"/>
      <c r="G14" s="2" t="s">
        <v>312</v>
      </c>
      <c r="H14" s="23"/>
      <c r="I14" s="23">
        <f>(SUM(D5:G5))/7</f>
        <v>14986.107142857143</v>
      </c>
      <c r="J14" s="3"/>
      <c r="L14" s="2" t="s">
        <v>312</v>
      </c>
      <c r="M14" s="23"/>
      <c r="N14" s="23">
        <f>(SUM(J5:P5))/7</f>
        <v>1999.8571428571429</v>
      </c>
      <c r="O14" s="3"/>
      <c r="S14" s="2" t="s">
        <v>312</v>
      </c>
      <c r="T14" s="23"/>
      <c r="U14" s="23">
        <f>(SUM(R5:X5))/7</f>
        <v>2277.2857142857142</v>
      </c>
      <c r="V14" s="3"/>
    </row>
    <row r="15" spans="2:24">
      <c r="B15" s="2" t="s">
        <v>313</v>
      </c>
      <c r="C15" s="23"/>
      <c r="D15" s="23">
        <f>(SUM(D7:X7))/18</f>
        <v>570.72222222222217</v>
      </c>
      <c r="E15" s="3"/>
      <c r="G15" s="2" t="s">
        <v>313</v>
      </c>
      <c r="H15" s="23"/>
      <c r="I15" s="23">
        <f>(SUM(D7:G7))/7</f>
        <v>622.85714285714289</v>
      </c>
      <c r="J15" s="3"/>
      <c r="L15" s="2" t="s">
        <v>313</v>
      </c>
      <c r="M15" s="23"/>
      <c r="N15" s="23">
        <f>(SUM(J7:P7))/7</f>
        <v>552.71428571428567</v>
      </c>
      <c r="O15" s="3"/>
      <c r="S15" s="2" t="s">
        <v>313</v>
      </c>
      <c r="T15" s="23"/>
      <c r="U15" s="23">
        <f>(SUM(R7:X7))/7</f>
        <v>292</v>
      </c>
      <c r="V15" s="3"/>
    </row>
    <row r="16" spans="2:24" ht="15.75" thickBot="1">
      <c r="B16" s="4" t="s">
        <v>314</v>
      </c>
      <c r="C16" s="24"/>
      <c r="D16" s="24">
        <f>(SUM(D8:X8))/18</f>
        <v>28.088649823130659</v>
      </c>
      <c r="E16" s="5"/>
      <c r="G16" s="4" t="s">
        <v>314</v>
      </c>
      <c r="H16" s="24"/>
      <c r="I16" s="23">
        <f>(SUM(D8:G8))/7</f>
        <v>6.5708886530378896</v>
      </c>
      <c r="J16" s="5"/>
      <c r="L16" s="4" t="s">
        <v>314</v>
      </c>
      <c r="M16" s="24"/>
      <c r="N16" s="23">
        <f>(SUM(J8:P8))/7</f>
        <v>40.124891287940365</v>
      </c>
      <c r="O16" s="5"/>
      <c r="S16" s="4" t="s">
        <v>314</v>
      </c>
      <c r="T16" s="24"/>
      <c r="U16" s="23">
        <f>(SUM(R8:X8))/7</f>
        <v>25.532176747071997</v>
      </c>
      <c r="V16" s="5"/>
    </row>
    <row r="21" spans="13:20" ht="15.75" thickBot="1"/>
    <row r="22" spans="13:20" ht="15.75" thickBot="1">
      <c r="N22" s="62" t="s">
        <v>352</v>
      </c>
      <c r="O22" s="61"/>
      <c r="P22" s="59" t="s">
        <v>375</v>
      </c>
    </row>
    <row r="23" spans="13:20" ht="15.75" thickBot="1">
      <c r="M23" s="58" t="s">
        <v>355</v>
      </c>
      <c r="N23" s="61">
        <f>SUM(R27:T33)</f>
        <v>4124087695.3090272</v>
      </c>
    </row>
    <row r="24" spans="13:20" ht="15.75" thickBot="1">
      <c r="M24" t="s">
        <v>354</v>
      </c>
      <c r="O24">
        <f>D14</f>
        <v>7491.2638888888887</v>
      </c>
    </row>
    <row r="25" spans="13:20" ht="15.75" thickBot="1">
      <c r="M25" s="160" t="s">
        <v>356</v>
      </c>
      <c r="N25" s="161"/>
      <c r="O25" s="161"/>
      <c r="P25" s="162"/>
      <c r="R25" s="160" t="s">
        <v>357</v>
      </c>
      <c r="S25" s="161"/>
      <c r="T25" s="162"/>
    </row>
    <row r="26" spans="13:20" ht="15.75" thickBot="1">
      <c r="M26" s="1"/>
      <c r="N26" s="10" t="s">
        <v>17</v>
      </c>
      <c r="O26" s="10" t="s">
        <v>327</v>
      </c>
      <c r="P26" s="20" t="s">
        <v>328</v>
      </c>
      <c r="R26" s="10" t="s">
        <v>17</v>
      </c>
      <c r="S26" s="10" t="s">
        <v>327</v>
      </c>
      <c r="T26" s="20" t="s">
        <v>328</v>
      </c>
    </row>
    <row r="27" spans="13:20">
      <c r="M27" s="2" t="s">
        <v>377</v>
      </c>
      <c r="N27" s="7">
        <f>D5-D14</f>
        <v>34365.736111111109</v>
      </c>
      <c r="O27" s="7">
        <f>J5-D14</f>
        <v>-6812.2638888888887</v>
      </c>
      <c r="P27" s="3">
        <f>R5-D14</f>
        <v>-3886.2638888888887</v>
      </c>
      <c r="R27">
        <f>N27*N27</f>
        <v>1181003818.4585261</v>
      </c>
      <c r="S27">
        <f t="shared" ref="S27:T33" si="1">O27*O27</f>
        <v>46406939.291859567</v>
      </c>
      <c r="T27">
        <f t="shared" si="1"/>
        <v>15103047.014081789</v>
      </c>
    </row>
    <row r="28" spans="13:20">
      <c r="M28" s="2" t="s">
        <v>377</v>
      </c>
      <c r="N28" s="7">
        <f>E5-D14</f>
        <v>49397.736111111109</v>
      </c>
      <c r="O28" s="7">
        <f>K5-D14</f>
        <v>-5600.2638888888887</v>
      </c>
      <c r="P28" s="3">
        <f>S5-D14</f>
        <v>-7137.2638888888887</v>
      </c>
      <c r="R28">
        <f t="shared" ref="R28:R30" si="2">N28*N28</f>
        <v>2440136332.9029703</v>
      </c>
      <c r="S28">
        <f t="shared" si="1"/>
        <v>31362955.625192899</v>
      </c>
      <c r="T28">
        <f t="shared" si="1"/>
        <v>50940535.819637343</v>
      </c>
    </row>
    <row r="29" spans="13:20">
      <c r="M29" s="2" t="s">
        <v>377</v>
      </c>
      <c r="N29" s="7">
        <f>F5-D14</f>
        <v>-3974.2638888888887</v>
      </c>
      <c r="O29" s="7">
        <f>L5-D14</f>
        <v>-6304.2638888888887</v>
      </c>
      <c r="P29" s="3">
        <f>T5-D14</f>
        <v>-5537.2638888888887</v>
      </c>
      <c r="R29">
        <f t="shared" si="2"/>
        <v>15794773.458526233</v>
      </c>
      <c r="S29">
        <f t="shared" si="1"/>
        <v>39743743.180748455</v>
      </c>
      <c r="T29">
        <f t="shared" si="1"/>
        <v>30661291.375192899</v>
      </c>
    </row>
    <row r="30" spans="13:20">
      <c r="M30" s="2" t="s">
        <v>377</v>
      </c>
      <c r="N30" s="7">
        <f>G5-D14</f>
        <v>-4851.5138888888887</v>
      </c>
      <c r="O30" s="7">
        <f>M5-D14</f>
        <v>-6288.2638888888887</v>
      </c>
      <c r="P30" s="3">
        <f>U5-D14</f>
        <v>-6498.2638888888887</v>
      </c>
      <c r="R30">
        <f t="shared" si="2"/>
        <v>23537187.014081787</v>
      </c>
      <c r="S30">
        <f t="shared" si="1"/>
        <v>39542262.736304007</v>
      </c>
      <c r="T30">
        <f t="shared" si="1"/>
        <v>42227433.569637343</v>
      </c>
    </row>
    <row r="31" spans="13:20">
      <c r="M31" s="2" t="s">
        <v>377</v>
      </c>
      <c r="N31" s="7"/>
      <c r="O31" s="7">
        <f>N5-D14</f>
        <v>-2843.2638888888887</v>
      </c>
      <c r="P31" s="3">
        <f>V5-D14</f>
        <v>642.73611111111131</v>
      </c>
      <c r="S31">
        <f t="shared" si="1"/>
        <v>8084149.5418595672</v>
      </c>
      <c r="T31">
        <f t="shared" si="1"/>
        <v>413109.70852623484</v>
      </c>
    </row>
    <row r="32" spans="13:20">
      <c r="M32" s="2" t="s">
        <v>377</v>
      </c>
      <c r="N32" s="7"/>
      <c r="O32" s="7">
        <f>O5-D14</f>
        <v>-3968.2638888888887</v>
      </c>
      <c r="P32" s="3">
        <f>W5-D14</f>
        <v>-7471.2638888888887</v>
      </c>
      <c r="S32">
        <f t="shared" si="1"/>
        <v>15747118.291859567</v>
      </c>
      <c r="T32">
        <f t="shared" si="1"/>
        <v>55819784.097415119</v>
      </c>
    </row>
    <row r="33" spans="13:23" ht="15.75" thickBot="1">
      <c r="M33" s="2" t="s">
        <v>377</v>
      </c>
      <c r="N33" s="8"/>
      <c r="O33" s="7">
        <f>P5-D14</f>
        <v>-6623.2638888888887</v>
      </c>
      <c r="P33" s="3">
        <f>X5-D14</f>
        <v>-6610.2638888888887</v>
      </c>
      <c r="S33">
        <f t="shared" si="1"/>
        <v>43867624.541859567</v>
      </c>
      <c r="T33">
        <f t="shared" si="1"/>
        <v>43695588.680748455</v>
      </c>
    </row>
    <row r="34" spans="13:23" ht="15.75" thickBot="1"/>
    <row r="35" spans="13:23" ht="15.75" thickBot="1">
      <c r="M35" s="58" t="s">
        <v>358</v>
      </c>
      <c r="N35" s="61">
        <f>N40+O40+P40</f>
        <v>626078516.79542232</v>
      </c>
    </row>
    <row r="36" spans="13:23" ht="15.75" thickBot="1">
      <c r="M36" s="63"/>
      <c r="N36" s="65" t="s">
        <v>17</v>
      </c>
      <c r="O36" s="66" t="s">
        <v>327</v>
      </c>
      <c r="P36" s="65" t="s">
        <v>328</v>
      </c>
      <c r="Q36" s="64"/>
      <c r="R36" s="37"/>
      <c r="S36" s="163"/>
      <c r="T36" s="163"/>
    </row>
    <row r="37" spans="13:23" ht="15.75" thickBot="1">
      <c r="M37" s="63" t="s">
        <v>378</v>
      </c>
      <c r="N37" s="15">
        <f>I14</f>
        <v>14986.107142857143</v>
      </c>
      <c r="O37" s="15">
        <f>N14</f>
        <v>1999.8571428571429</v>
      </c>
      <c r="P37" s="22">
        <f>U14</f>
        <v>2277.2857142857142</v>
      </c>
      <c r="Q37" s="37"/>
      <c r="R37" s="37"/>
      <c r="S37" s="64"/>
      <c r="T37" s="37"/>
    </row>
    <row r="38" spans="13:23" ht="15.75" thickBot="1">
      <c r="M38" s="64" t="s">
        <v>359</v>
      </c>
      <c r="N38">
        <f>N37-O24</f>
        <v>7494.8432539682544</v>
      </c>
      <c r="O38">
        <f>O37-O24</f>
        <v>-5491.4067460317456</v>
      </c>
      <c r="P38">
        <f>P37-O24</f>
        <v>-5213.9781746031749</v>
      </c>
    </row>
    <row r="39" spans="13:23" ht="15.75" thickBot="1">
      <c r="M39" s="64" t="s">
        <v>360</v>
      </c>
      <c r="N39">
        <f>N38*N38</f>
        <v>56172675.401553452</v>
      </c>
      <c r="O39">
        <f t="shared" ref="O39:P39" si="3">O38*O38</f>
        <v>30155548.050362963</v>
      </c>
      <c r="P39">
        <f t="shared" si="3"/>
        <v>27185568.405238256</v>
      </c>
      <c r="U39" s="156" t="s">
        <v>591</v>
      </c>
      <c r="V39" s="190"/>
      <c r="W39" s="191"/>
    </row>
    <row r="40" spans="13:23" ht="15.75" thickBot="1">
      <c r="M40" s="64" t="s">
        <v>361</v>
      </c>
      <c r="N40">
        <f>N39*4</f>
        <v>224690701.60621381</v>
      </c>
      <c r="O40">
        <f>O39*7</f>
        <v>211088836.35254073</v>
      </c>
      <c r="P40">
        <f>P39*7</f>
        <v>190298978.83666778</v>
      </c>
      <c r="T40" s="37"/>
      <c r="U40" s="13" t="s">
        <v>380</v>
      </c>
      <c r="V40" s="14" t="s">
        <v>381</v>
      </c>
      <c r="W40" s="83" t="s">
        <v>382</v>
      </c>
    </row>
    <row r="41" spans="13:23" ht="15.75" thickBot="1">
      <c r="T41" s="12" t="s">
        <v>539</v>
      </c>
      <c r="U41" s="104">
        <v>14986.107142857143</v>
      </c>
      <c r="V41" s="104">
        <v>1999.8571428571429</v>
      </c>
      <c r="W41" s="97">
        <v>2277.2857142857142</v>
      </c>
    </row>
    <row r="42" spans="13:23" ht="15.75" thickBot="1">
      <c r="M42" s="31" t="s">
        <v>362</v>
      </c>
      <c r="N42" s="32"/>
      <c r="O42" s="32"/>
      <c r="P42" s="32"/>
      <c r="Q42" s="18"/>
      <c r="T42" s="31" t="s">
        <v>540</v>
      </c>
      <c r="U42" s="104">
        <f>STDEV(D5:G5)</f>
        <v>27426.007120200557</v>
      </c>
      <c r="V42" s="104">
        <f>STDEV(J5:P5)</f>
        <v>1509.1916631728643</v>
      </c>
      <c r="W42" s="97">
        <f>STDEV(R5:X5)</f>
        <v>2844.9314997193233</v>
      </c>
    </row>
    <row r="43" spans="13:23" ht="15.75" thickBot="1">
      <c r="M43" s="2" t="s">
        <v>363</v>
      </c>
      <c r="N43" s="23" t="s">
        <v>364</v>
      </c>
      <c r="O43" s="23" t="s">
        <v>365</v>
      </c>
      <c r="P43" s="23" t="s">
        <v>366</v>
      </c>
      <c r="Q43" s="3" t="s">
        <v>367</v>
      </c>
      <c r="T43" s="15" t="s">
        <v>387</v>
      </c>
      <c r="U43" s="167">
        <f>Q44</f>
        <v>1.3423603645205255</v>
      </c>
      <c r="V43" s="192"/>
      <c r="W43" s="168"/>
    </row>
    <row r="44" spans="13:23" ht="15.75" thickBot="1">
      <c r="M44" s="2" t="s">
        <v>378</v>
      </c>
      <c r="N44" s="23">
        <f>N35</f>
        <v>626078516.79542232</v>
      </c>
      <c r="O44" s="23">
        <v>2</v>
      </c>
      <c r="P44" s="23">
        <f>N44/O44</f>
        <v>313039258.39771116</v>
      </c>
      <c r="Q44" s="3">
        <f>P44/P45</f>
        <v>1.3423603645205255</v>
      </c>
      <c r="T44" s="22" t="s">
        <v>386</v>
      </c>
      <c r="U44" s="193">
        <f>Q46</f>
        <v>0.29086930791557764</v>
      </c>
      <c r="V44" s="194"/>
      <c r="W44" s="195"/>
    </row>
    <row r="45" spans="13:23">
      <c r="M45" s="2" t="s">
        <v>369</v>
      </c>
      <c r="N45" s="23">
        <f>N46-N44</f>
        <v>3498009178.5136051</v>
      </c>
      <c r="O45" s="23">
        <v>15</v>
      </c>
      <c r="P45" s="23">
        <f>N45/O45</f>
        <v>233200611.90090701</v>
      </c>
      <c r="Q45" s="3"/>
    </row>
    <row r="46" spans="13:23" ht="15.75" thickBot="1">
      <c r="M46" s="4" t="s">
        <v>78</v>
      </c>
      <c r="N46" s="24">
        <f>N23</f>
        <v>4124087695.3090272</v>
      </c>
      <c r="O46" s="24">
        <v>17</v>
      </c>
      <c r="P46" s="24"/>
      <c r="Q46" s="67">
        <f>FDIST(Q44,O44,O45)</f>
        <v>0.29086930791557764</v>
      </c>
    </row>
  </sheetData>
  <mergeCells count="13">
    <mergeCell ref="D3:G3"/>
    <mergeCell ref="J3:P3"/>
    <mergeCell ref="R3:X3"/>
    <mergeCell ref="B12:E12"/>
    <mergeCell ref="G12:J12"/>
    <mergeCell ref="L12:O12"/>
    <mergeCell ref="S12:V12"/>
    <mergeCell ref="U39:W39"/>
    <mergeCell ref="U43:W43"/>
    <mergeCell ref="U44:W44"/>
    <mergeCell ref="M25:P25"/>
    <mergeCell ref="R25:T25"/>
    <mergeCell ref="S36:T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C2:X29"/>
  <sheetViews>
    <sheetView topLeftCell="J1" workbookViewId="0">
      <selection activeCell="V19" sqref="V19:X19"/>
    </sheetView>
  </sheetViews>
  <sheetFormatPr baseColWidth="10" defaultRowHeight="15"/>
  <cols>
    <col min="3" max="3" width="24.85546875" customWidth="1"/>
  </cols>
  <sheetData>
    <row r="2" spans="3:24" ht="15.75" thickBot="1"/>
    <row r="3" spans="3:24" ht="15.75" thickBot="1">
      <c r="D3" s="156" t="s">
        <v>20</v>
      </c>
      <c r="E3" s="157"/>
      <c r="F3" s="157"/>
      <c r="G3" s="158"/>
      <c r="J3" s="156" t="s">
        <v>28</v>
      </c>
      <c r="K3" s="157"/>
      <c r="L3" s="157"/>
      <c r="M3" s="157"/>
      <c r="N3" s="157"/>
      <c r="O3" s="157"/>
      <c r="P3" s="158"/>
      <c r="R3" s="156" t="s">
        <v>29</v>
      </c>
      <c r="S3" s="157"/>
      <c r="T3" s="157"/>
      <c r="U3" s="157"/>
      <c r="V3" s="157"/>
      <c r="W3" s="157"/>
      <c r="X3" s="158"/>
    </row>
    <row r="4" spans="3:24" ht="15.75" thickBot="1">
      <c r="D4" s="9" t="s">
        <v>13</v>
      </c>
      <c r="E4" s="10" t="s">
        <v>15</v>
      </c>
      <c r="F4" s="19" t="s">
        <v>16</v>
      </c>
      <c r="G4" s="15" t="s">
        <v>18</v>
      </c>
      <c r="J4" s="10" t="s">
        <v>21</v>
      </c>
      <c r="K4" s="15" t="s">
        <v>22</v>
      </c>
      <c r="L4" s="15" t="s">
        <v>23</v>
      </c>
      <c r="M4" s="15" t="s">
        <v>24</v>
      </c>
      <c r="N4" s="15" t="s">
        <v>25</v>
      </c>
      <c r="O4" s="15" t="s">
        <v>26</v>
      </c>
      <c r="P4" s="15" t="s">
        <v>27</v>
      </c>
      <c r="R4" s="9" t="s">
        <v>30</v>
      </c>
      <c r="S4" s="10" t="s">
        <v>31</v>
      </c>
      <c r="T4" s="19" t="s">
        <v>32</v>
      </c>
      <c r="U4" s="10" t="s">
        <v>33</v>
      </c>
      <c r="V4" s="19" t="s">
        <v>34</v>
      </c>
      <c r="W4" s="10" t="s">
        <v>35</v>
      </c>
      <c r="X4" s="20" t="s">
        <v>36</v>
      </c>
    </row>
    <row r="5" spans="3:24">
      <c r="C5" s="6" t="s">
        <v>391</v>
      </c>
    </row>
    <row r="6" spans="3:24">
      <c r="C6" s="69" t="s">
        <v>392</v>
      </c>
      <c r="E6" t="s">
        <v>394</v>
      </c>
      <c r="F6" t="s">
        <v>394</v>
      </c>
      <c r="G6" t="s">
        <v>394</v>
      </c>
      <c r="J6" t="s">
        <v>394</v>
      </c>
      <c r="K6" t="s">
        <v>394</v>
      </c>
      <c r="L6" t="s">
        <v>394</v>
      </c>
      <c r="M6" t="s">
        <v>394</v>
      </c>
      <c r="N6" t="s">
        <v>394</v>
      </c>
      <c r="O6" t="s">
        <v>394</v>
      </c>
      <c r="P6" t="s">
        <v>394</v>
      </c>
      <c r="R6" t="s">
        <v>394</v>
      </c>
      <c r="S6" t="s">
        <v>394</v>
      </c>
      <c r="T6" t="s">
        <v>394</v>
      </c>
      <c r="U6" t="s">
        <v>394</v>
      </c>
      <c r="V6" t="s">
        <v>394</v>
      </c>
      <c r="W6" t="s">
        <v>394</v>
      </c>
      <c r="X6" t="s">
        <v>394</v>
      </c>
    </row>
    <row r="7" spans="3:24" ht="15.75" thickBot="1">
      <c r="C7" s="70" t="s">
        <v>393</v>
      </c>
      <c r="D7" t="s">
        <v>394</v>
      </c>
    </row>
    <row r="8" spans="3:24" ht="15.75" thickBot="1">
      <c r="C8" s="15" t="s">
        <v>398</v>
      </c>
      <c r="E8" t="s">
        <v>397</v>
      </c>
      <c r="F8" t="s">
        <v>397</v>
      </c>
      <c r="G8" t="s">
        <v>397</v>
      </c>
      <c r="J8" t="s">
        <v>397</v>
      </c>
      <c r="K8" t="s">
        <v>397</v>
      </c>
      <c r="L8" t="s">
        <v>397</v>
      </c>
      <c r="M8" t="s">
        <v>397</v>
      </c>
      <c r="N8" t="s">
        <v>397</v>
      </c>
      <c r="O8" t="s">
        <v>397</v>
      </c>
      <c r="P8" t="s">
        <v>397</v>
      </c>
      <c r="R8" t="s">
        <v>397</v>
      </c>
      <c r="S8" t="s">
        <v>397</v>
      </c>
      <c r="T8" t="s">
        <v>397</v>
      </c>
      <c r="U8" t="s">
        <v>396</v>
      </c>
      <c r="V8" t="s">
        <v>397</v>
      </c>
      <c r="W8" t="s">
        <v>395</v>
      </c>
      <c r="X8" t="s">
        <v>397</v>
      </c>
    </row>
    <row r="9" spans="3:24">
      <c r="U9" t="s">
        <v>571</v>
      </c>
    </row>
    <row r="10" spans="3:24">
      <c r="U10" t="s">
        <v>569</v>
      </c>
      <c r="V10" t="s">
        <v>572</v>
      </c>
    </row>
    <row r="11" spans="3:24" ht="15.75" thickBot="1"/>
    <row r="12" spans="3:24" ht="15.75" thickBot="1">
      <c r="E12" s="13" t="s">
        <v>399</v>
      </c>
      <c r="F12" s="71"/>
      <c r="G12" s="71"/>
      <c r="H12" s="14">
        <f>17/18*100</f>
        <v>94.444444444444443</v>
      </c>
    </row>
    <row r="13" spans="3:24" ht="15.75" thickBot="1">
      <c r="E13" s="31" t="s">
        <v>400</v>
      </c>
      <c r="F13" s="32"/>
      <c r="G13" s="32"/>
      <c r="H13" s="12">
        <f>2/4*100</f>
        <v>50</v>
      </c>
    </row>
    <row r="14" spans="3:24" ht="15.75" thickBot="1">
      <c r="E14" s="31" t="s">
        <v>401</v>
      </c>
      <c r="F14" s="32"/>
      <c r="G14" s="32"/>
      <c r="H14" s="12">
        <f>7/7*100</f>
        <v>100</v>
      </c>
    </row>
    <row r="15" spans="3:24" ht="15.75" thickBot="1">
      <c r="E15" s="29" t="s">
        <v>402</v>
      </c>
      <c r="F15" s="72"/>
      <c r="G15" s="72"/>
      <c r="H15" s="12">
        <f>7/7*100</f>
        <v>100</v>
      </c>
    </row>
    <row r="17" spans="9:24" ht="15.75" thickBot="1"/>
    <row r="18" spans="9:24" ht="15.75" thickBot="1">
      <c r="I18" s="179" t="s">
        <v>445</v>
      </c>
      <c r="J18" s="180"/>
      <c r="K18" s="181"/>
      <c r="N18" s="179" t="s">
        <v>445</v>
      </c>
      <c r="O18" s="180"/>
      <c r="P18" s="181"/>
    </row>
    <row r="19" spans="9:24" ht="15.75" thickBot="1">
      <c r="I19" t="s">
        <v>488</v>
      </c>
      <c r="N19" t="s">
        <v>489</v>
      </c>
      <c r="V19" s="13" t="s">
        <v>380</v>
      </c>
      <c r="W19" s="14" t="s">
        <v>381</v>
      </c>
      <c r="X19" s="83" t="s">
        <v>382</v>
      </c>
    </row>
    <row r="20" spans="9:24" ht="15.75" thickBot="1">
      <c r="I20" t="s">
        <v>442</v>
      </c>
      <c r="J20">
        <f>3/4</f>
        <v>0.75</v>
      </c>
      <c r="N20" t="s">
        <v>442</v>
      </c>
      <c r="O20">
        <f>7/7</f>
        <v>1</v>
      </c>
      <c r="U20" s="13" t="s">
        <v>553</v>
      </c>
      <c r="V20" s="117" t="s">
        <v>95</v>
      </c>
      <c r="W20" s="117" t="s">
        <v>95</v>
      </c>
      <c r="X20" s="107" t="s">
        <v>95</v>
      </c>
    </row>
    <row r="21" spans="9:24" ht="15.75" thickBot="1">
      <c r="I21" t="s">
        <v>443</v>
      </c>
      <c r="J21">
        <f>7/7</f>
        <v>1</v>
      </c>
      <c r="N21" t="s">
        <v>443</v>
      </c>
      <c r="O21">
        <f>7/7</f>
        <v>1</v>
      </c>
      <c r="U21" s="31" t="s">
        <v>554</v>
      </c>
      <c r="V21" s="122">
        <v>50</v>
      </c>
      <c r="W21" s="122">
        <v>100</v>
      </c>
      <c r="X21" s="134">
        <v>100</v>
      </c>
    </row>
    <row r="22" spans="9:24" ht="15.75" thickBot="1">
      <c r="U22" s="29" t="s">
        <v>421</v>
      </c>
      <c r="V22" s="125">
        <f>100-V21</f>
        <v>50</v>
      </c>
      <c r="W22" s="125">
        <f t="shared" ref="W22:X22" si="0">100-W21</f>
        <v>0</v>
      </c>
      <c r="X22" s="125">
        <f t="shared" si="0"/>
        <v>0</v>
      </c>
    </row>
    <row r="23" spans="9:24" ht="15.75" thickBot="1">
      <c r="I23" t="s">
        <v>444</v>
      </c>
      <c r="J23">
        <f>10/11</f>
        <v>0.90909090909090906</v>
      </c>
      <c r="N23" t="s">
        <v>444</v>
      </c>
      <c r="O23">
        <f>14/14</f>
        <v>1</v>
      </c>
      <c r="U23" s="12" t="s">
        <v>529</v>
      </c>
      <c r="V23" s="167">
        <f>J29</f>
        <v>1.3874436925511606</v>
      </c>
      <c r="W23" s="168"/>
      <c r="X23" s="126"/>
    </row>
    <row r="24" spans="9:24" ht="15.75" thickBot="1">
      <c r="U24" s="12" t="s">
        <v>529</v>
      </c>
      <c r="V24" s="127"/>
      <c r="W24" s="171"/>
      <c r="X24" s="172"/>
    </row>
    <row r="25" spans="9:24" ht="15.75" thickBot="1">
      <c r="I25" t="s">
        <v>446</v>
      </c>
      <c r="J25">
        <f>-(J20-J21)</f>
        <v>0.25</v>
      </c>
      <c r="N25" t="s">
        <v>446</v>
      </c>
      <c r="O25">
        <f>(O20-O21)</f>
        <v>0</v>
      </c>
      <c r="U25" s="12" t="s">
        <v>522</v>
      </c>
      <c r="V25" s="105">
        <f>J29</f>
        <v>1.3874436925511606</v>
      </c>
      <c r="W25" s="128"/>
      <c r="X25" s="106">
        <f>V25</f>
        <v>1.3874436925511606</v>
      </c>
    </row>
    <row r="26" spans="9:24">
      <c r="I26" t="s">
        <v>447</v>
      </c>
      <c r="J26">
        <f>((J23*(1-J23))/4)+((J23*(1-J23))/7)</f>
        <v>3.2467532467532478E-2</v>
      </c>
      <c r="N26" t="s">
        <v>447</v>
      </c>
      <c r="O26">
        <f>((O23*(1-O23))/7)+((O23*(1-O23))/7)</f>
        <v>0</v>
      </c>
    </row>
    <row r="27" spans="9:24">
      <c r="I27" t="s">
        <v>447</v>
      </c>
      <c r="J27">
        <f>SQRT(J26)</f>
        <v>0.18018749253911182</v>
      </c>
      <c r="N27" t="s">
        <v>447</v>
      </c>
      <c r="O27">
        <f>SQRT(O26)</f>
        <v>0</v>
      </c>
    </row>
    <row r="28" spans="9:24" ht="15.75" thickBot="1"/>
    <row r="29" spans="9:24" ht="15.75" thickBot="1">
      <c r="I29" s="80" t="s">
        <v>448</v>
      </c>
      <c r="J29" s="81">
        <f>J25/J27</f>
        <v>1.3874436925511606</v>
      </c>
      <c r="N29" s="80" t="s">
        <v>448</v>
      </c>
      <c r="O29" s="81" t="e">
        <f>O25/O27</f>
        <v>#DIV/0!</v>
      </c>
    </row>
  </sheetData>
  <mergeCells count="7">
    <mergeCell ref="V23:W23"/>
    <mergeCell ref="W24:X24"/>
    <mergeCell ref="D3:G3"/>
    <mergeCell ref="J3:P3"/>
    <mergeCell ref="R3:X3"/>
    <mergeCell ref="I18:K18"/>
    <mergeCell ref="N18:P1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B2:W44"/>
  <sheetViews>
    <sheetView zoomScale="70" zoomScaleNormal="70" workbookViewId="0">
      <selection activeCell="C7" sqref="C7:W7"/>
    </sheetView>
  </sheetViews>
  <sheetFormatPr baseColWidth="10" defaultRowHeight="15"/>
  <cols>
    <col min="2" max="2" width="15.42578125" customWidth="1"/>
    <col min="7" max="7" width="10.5703125" customWidth="1"/>
    <col min="8" max="8" width="14.7109375" customWidth="1"/>
  </cols>
  <sheetData>
    <row r="2" spans="2:23" ht="15.75" thickBot="1"/>
    <row r="3" spans="2:23" ht="15.75" thickBot="1">
      <c r="C3" s="156" t="s">
        <v>20</v>
      </c>
      <c r="D3" s="157"/>
      <c r="E3" s="157"/>
      <c r="F3" s="158"/>
      <c r="I3" s="156" t="s">
        <v>28</v>
      </c>
      <c r="J3" s="157"/>
      <c r="K3" s="157"/>
      <c r="L3" s="157"/>
      <c r="M3" s="157"/>
      <c r="N3" s="157"/>
      <c r="O3" s="158"/>
      <c r="Q3" s="156" t="s">
        <v>29</v>
      </c>
      <c r="R3" s="157"/>
      <c r="S3" s="157"/>
      <c r="T3" s="157"/>
      <c r="U3" s="157"/>
      <c r="V3" s="157"/>
      <c r="W3" s="158"/>
    </row>
    <row r="4" spans="2:23" ht="15.75" thickBot="1">
      <c r="C4" s="9" t="s">
        <v>13</v>
      </c>
      <c r="D4" s="10" t="s">
        <v>15</v>
      </c>
      <c r="E4" s="74" t="s">
        <v>16</v>
      </c>
      <c r="F4" s="75" t="s">
        <v>18</v>
      </c>
      <c r="I4" s="73" t="s">
        <v>21</v>
      </c>
      <c r="J4" s="15" t="s">
        <v>22</v>
      </c>
      <c r="K4" s="15" t="s">
        <v>23</v>
      </c>
      <c r="L4" s="15" t="s">
        <v>24</v>
      </c>
      <c r="M4" s="75" t="s">
        <v>25</v>
      </c>
      <c r="N4" s="75" t="s">
        <v>26</v>
      </c>
      <c r="O4" s="75" t="s">
        <v>27</v>
      </c>
      <c r="Q4" s="9" t="s">
        <v>30</v>
      </c>
      <c r="R4" s="73" t="s">
        <v>31</v>
      </c>
      <c r="S4" s="74" t="s">
        <v>32</v>
      </c>
      <c r="T4" s="10" t="s">
        <v>33</v>
      </c>
      <c r="U4" s="19" t="s">
        <v>34</v>
      </c>
      <c r="V4" s="10" t="s">
        <v>35</v>
      </c>
      <c r="W4" s="20" t="s">
        <v>36</v>
      </c>
    </row>
    <row r="6" spans="2:23">
      <c r="B6" t="s">
        <v>403</v>
      </c>
      <c r="C6" t="s">
        <v>106</v>
      </c>
      <c r="D6" t="s">
        <v>103</v>
      </c>
      <c r="E6" t="s">
        <v>103</v>
      </c>
      <c r="F6" t="s">
        <v>104</v>
      </c>
      <c r="I6" t="s">
        <v>103</v>
      </c>
      <c r="J6" t="s">
        <v>419</v>
      </c>
      <c r="K6" t="s">
        <v>420</v>
      </c>
      <c r="L6" t="s">
        <v>103</v>
      </c>
      <c r="M6" t="s">
        <v>105</v>
      </c>
      <c r="N6" t="s">
        <v>104</v>
      </c>
      <c r="O6" t="s">
        <v>104</v>
      </c>
      <c r="Q6" t="s">
        <v>415</v>
      </c>
      <c r="R6" t="s">
        <v>103</v>
      </c>
      <c r="S6" t="s">
        <v>104</v>
      </c>
      <c r="T6" t="s">
        <v>106</v>
      </c>
      <c r="U6" t="s">
        <v>416</v>
      </c>
      <c r="V6" t="s">
        <v>102</v>
      </c>
      <c r="W6" t="s">
        <v>104</v>
      </c>
    </row>
    <row r="7" spans="2:23" ht="15.75" thickBot="1">
      <c r="B7" t="s">
        <v>436</v>
      </c>
      <c r="C7">
        <v>8</v>
      </c>
      <c r="D7">
        <v>1</v>
      </c>
      <c r="E7">
        <v>1</v>
      </c>
      <c r="F7">
        <v>1</v>
      </c>
      <c r="I7">
        <v>1</v>
      </c>
      <c r="K7">
        <v>3</v>
      </c>
      <c r="L7">
        <v>1</v>
      </c>
      <c r="M7">
        <v>9</v>
      </c>
      <c r="N7">
        <v>1</v>
      </c>
      <c r="O7">
        <v>1</v>
      </c>
      <c r="Q7">
        <v>4</v>
      </c>
      <c r="R7">
        <v>1</v>
      </c>
      <c r="S7">
        <v>1</v>
      </c>
      <c r="T7">
        <v>8</v>
      </c>
      <c r="U7">
        <v>3</v>
      </c>
      <c r="W7">
        <v>1</v>
      </c>
    </row>
    <row r="8" spans="2:23">
      <c r="D8" s="196" t="s">
        <v>435</v>
      </c>
      <c r="E8" s="197"/>
      <c r="F8" s="198"/>
      <c r="H8" s="196" t="s">
        <v>437</v>
      </c>
      <c r="I8" s="197"/>
      <c r="J8" s="198"/>
      <c r="L8" s="196" t="s">
        <v>438</v>
      </c>
      <c r="M8" s="197"/>
      <c r="N8" s="198"/>
      <c r="Q8" s="196" t="s">
        <v>328</v>
      </c>
      <c r="R8" s="197"/>
      <c r="S8" s="198"/>
    </row>
    <row r="9" spans="2:23">
      <c r="D9" s="2" t="s">
        <v>433</v>
      </c>
      <c r="E9" s="23"/>
      <c r="F9" s="3">
        <f>10/16*100</f>
        <v>62.5</v>
      </c>
      <c r="H9" s="2" t="s">
        <v>433</v>
      </c>
      <c r="I9" s="23"/>
      <c r="J9" s="3">
        <f>3/4*100</f>
        <v>75</v>
      </c>
      <c r="L9" s="2" t="s">
        <v>433</v>
      </c>
      <c r="M9" s="23"/>
      <c r="N9" s="3">
        <f>4/6*100</f>
        <v>66.666666666666657</v>
      </c>
      <c r="Q9" s="2" t="s">
        <v>433</v>
      </c>
      <c r="R9" s="23"/>
      <c r="S9" s="3">
        <f>3/6*100</f>
        <v>50</v>
      </c>
    </row>
    <row r="10" spans="2:23" ht="15.75" thickBot="1">
      <c r="D10" s="4" t="s">
        <v>434</v>
      </c>
      <c r="E10" s="24"/>
      <c r="F10" s="5">
        <f>100-F9</f>
        <v>37.5</v>
      </c>
      <c r="H10" s="4" t="s">
        <v>434</v>
      </c>
      <c r="I10" s="24"/>
      <c r="J10" s="5">
        <f>100-J9</f>
        <v>25</v>
      </c>
      <c r="L10" s="4" t="s">
        <v>434</v>
      </c>
      <c r="M10" s="24"/>
      <c r="N10" s="5">
        <f>100-N9</f>
        <v>33.333333333333343</v>
      </c>
      <c r="Q10" s="4" t="s">
        <v>434</v>
      </c>
      <c r="R10" s="24"/>
      <c r="S10" s="5">
        <f>100-S9</f>
        <v>50</v>
      </c>
    </row>
    <row r="14" spans="2:23" ht="15.75" thickBot="1"/>
    <row r="15" spans="2:23" ht="15.75" thickBot="1">
      <c r="H15" s="9" t="s">
        <v>403</v>
      </c>
      <c r="I15" s="10" t="s">
        <v>480</v>
      </c>
      <c r="J15" s="19" t="s">
        <v>327</v>
      </c>
      <c r="K15" s="10" t="s">
        <v>328</v>
      </c>
    </row>
    <row r="16" spans="2:23">
      <c r="H16" s="77">
        <v>0</v>
      </c>
      <c r="I16" s="7">
        <v>3</v>
      </c>
      <c r="J16" s="23">
        <v>5</v>
      </c>
      <c r="K16" s="7">
        <v>4</v>
      </c>
    </row>
    <row r="17" spans="5:21">
      <c r="H17" s="77" t="s">
        <v>481</v>
      </c>
      <c r="I17" s="7"/>
      <c r="J17" s="23"/>
      <c r="K17" s="7"/>
    </row>
    <row r="18" spans="5:21">
      <c r="H18" s="78" t="s">
        <v>482</v>
      </c>
      <c r="I18" s="7"/>
      <c r="J18" s="23">
        <v>1</v>
      </c>
      <c r="K18" s="7">
        <v>2</v>
      </c>
    </row>
    <row r="19" spans="5:21">
      <c r="H19" s="77" t="s">
        <v>483</v>
      </c>
      <c r="I19" s="7">
        <v>1</v>
      </c>
      <c r="J19" s="23"/>
      <c r="K19" s="7">
        <v>1</v>
      </c>
    </row>
    <row r="20" spans="5:21" ht="15.75" thickBot="1">
      <c r="H20" s="79" t="s">
        <v>484</v>
      </c>
      <c r="I20" s="8"/>
      <c r="J20" s="24">
        <v>1</v>
      </c>
      <c r="K20" s="8"/>
    </row>
    <row r="23" spans="5:21" ht="15.75" thickBot="1"/>
    <row r="24" spans="5:21" ht="15.75" thickBot="1">
      <c r="E24" s="179" t="s">
        <v>445</v>
      </c>
      <c r="F24" s="180"/>
      <c r="G24" s="181"/>
      <c r="L24" s="179" t="s">
        <v>445</v>
      </c>
      <c r="M24" s="180"/>
      <c r="N24" s="181"/>
      <c r="S24" s="156" t="s">
        <v>558</v>
      </c>
      <c r="T24" s="190"/>
      <c r="U24" s="191"/>
    </row>
    <row r="25" spans="5:21" ht="15.75" thickBot="1">
      <c r="E25" t="s">
        <v>490</v>
      </c>
      <c r="L25" t="s">
        <v>491</v>
      </c>
      <c r="R25" s="37"/>
      <c r="S25" s="12" t="s">
        <v>380</v>
      </c>
      <c r="T25" s="12" t="s">
        <v>381</v>
      </c>
      <c r="U25" s="18" t="s">
        <v>382</v>
      </c>
    </row>
    <row r="26" spans="5:21" ht="15.75" thickBot="1">
      <c r="E26" t="s">
        <v>442</v>
      </c>
      <c r="F26">
        <f>1/4</f>
        <v>0.25</v>
      </c>
      <c r="L26" t="s">
        <v>442</v>
      </c>
      <c r="M26">
        <f>1/4</f>
        <v>0.25</v>
      </c>
      <c r="R26" s="12" t="s">
        <v>559</v>
      </c>
      <c r="S26" s="104">
        <v>25</v>
      </c>
      <c r="T26" s="104">
        <f>N10</f>
        <v>33.333333333333343</v>
      </c>
      <c r="U26" s="97">
        <f>S10</f>
        <v>50</v>
      </c>
    </row>
    <row r="27" spans="5:21" ht="15.75" thickBot="1">
      <c r="E27" t="s">
        <v>443</v>
      </c>
      <c r="F27">
        <f>2/6</f>
        <v>0.33333333333333331</v>
      </c>
      <c r="L27" t="s">
        <v>443</v>
      </c>
      <c r="M27">
        <f>3/6</f>
        <v>0.5</v>
      </c>
      <c r="R27" s="31" t="s">
        <v>421</v>
      </c>
      <c r="S27" s="104">
        <v>75</v>
      </c>
      <c r="T27" s="104">
        <f>N9</f>
        <v>66.666666666666657</v>
      </c>
      <c r="U27" s="104">
        <f>S9</f>
        <v>50</v>
      </c>
    </row>
    <row r="28" spans="5:21" ht="15.75" thickBot="1">
      <c r="R28" s="15" t="s">
        <v>560</v>
      </c>
      <c r="S28" s="167">
        <f>F35</f>
        <v>0.28171808490950545</v>
      </c>
      <c r="T28" s="168"/>
      <c r="U28" s="131"/>
    </row>
    <row r="29" spans="5:21" ht="15.75" thickBot="1">
      <c r="E29" t="s">
        <v>444</v>
      </c>
      <c r="F29">
        <f>3/10</f>
        <v>0.3</v>
      </c>
      <c r="L29" t="s">
        <v>444</v>
      </c>
      <c r="M29">
        <f>4/10</f>
        <v>0.4</v>
      </c>
      <c r="R29" s="15" t="s">
        <v>560</v>
      </c>
      <c r="S29" s="132"/>
      <c r="T29" s="193">
        <f>T44</f>
        <v>0.58554004376912006</v>
      </c>
      <c r="U29" s="195"/>
    </row>
    <row r="30" spans="5:21" ht="15.75" thickBot="1">
      <c r="R30" s="15" t="s">
        <v>560</v>
      </c>
      <c r="S30" s="129">
        <f>M35</f>
        <v>0.79056941504209477</v>
      </c>
      <c r="T30" s="133"/>
      <c r="U30" s="130">
        <f>M35</f>
        <v>0.79056941504209477</v>
      </c>
    </row>
    <row r="31" spans="5:21">
      <c r="E31" t="s">
        <v>446</v>
      </c>
      <c r="F31">
        <f>-(F26-F27)</f>
        <v>8.3333333333333315E-2</v>
      </c>
      <c r="L31" t="s">
        <v>446</v>
      </c>
      <c r="M31">
        <f>-(M26-M27)</f>
        <v>0.25</v>
      </c>
    </row>
    <row r="32" spans="5:21" ht="15.75" thickBot="1">
      <c r="E32" t="s">
        <v>447</v>
      </c>
      <c r="F32">
        <f>((F29*(1-F29))/4)+((F29*(1-F29))/6)</f>
        <v>8.7499999999999994E-2</v>
      </c>
      <c r="L32" t="s">
        <v>447</v>
      </c>
      <c r="M32">
        <f>((M29*(1-M29))/4)+((M29*(1-M29))/6)</f>
        <v>0.1</v>
      </c>
    </row>
    <row r="33" spans="5:21" ht="15.75" thickBot="1">
      <c r="E33" t="s">
        <v>447</v>
      </c>
      <c r="F33">
        <f>SQRT(F32)</f>
        <v>0.2958039891549808</v>
      </c>
      <c r="L33" t="s">
        <v>447</v>
      </c>
      <c r="M33">
        <f>SQRT(M32)</f>
        <v>0.31622776601683794</v>
      </c>
      <c r="S33" s="179" t="s">
        <v>445</v>
      </c>
      <c r="T33" s="180"/>
      <c r="U33" s="181"/>
    </row>
    <row r="34" spans="5:21" ht="15.75" thickBot="1">
      <c r="S34" t="s">
        <v>491</v>
      </c>
    </row>
    <row r="35" spans="5:21" ht="15.75" thickBot="1">
      <c r="E35" s="80" t="s">
        <v>448</v>
      </c>
      <c r="F35" s="81">
        <f>F31/F33</f>
        <v>0.28171808490950545</v>
      </c>
      <c r="L35" s="80" t="s">
        <v>448</v>
      </c>
      <c r="M35" s="81">
        <f>M31/M33</f>
        <v>0.79056941504209477</v>
      </c>
      <c r="S35" t="s">
        <v>442</v>
      </c>
      <c r="T35">
        <f>F27</f>
        <v>0.33333333333333331</v>
      </c>
    </row>
    <row r="36" spans="5:21">
      <c r="S36" t="s">
        <v>443</v>
      </c>
      <c r="T36">
        <f>M27</f>
        <v>0.5</v>
      </c>
    </row>
    <row r="38" spans="5:21">
      <c r="S38" t="s">
        <v>444</v>
      </c>
      <c r="T38">
        <f>5/12</f>
        <v>0.41666666666666669</v>
      </c>
    </row>
    <row r="40" spans="5:21">
      <c r="S40" t="s">
        <v>446</v>
      </c>
      <c r="T40">
        <f>-(T35-T36)</f>
        <v>0.16666666666666669</v>
      </c>
    </row>
    <row r="41" spans="5:21">
      <c r="S41" t="s">
        <v>447</v>
      </c>
      <c r="T41">
        <f>((T38*(1-T38))/6)+((T38*(1-T38))/6)</f>
        <v>8.1018518518518504E-2</v>
      </c>
    </row>
    <row r="42" spans="5:21">
      <c r="S42" t="s">
        <v>447</v>
      </c>
      <c r="T42">
        <f>SQRT(T41)</f>
        <v>0.28463752127665548</v>
      </c>
    </row>
    <row r="43" spans="5:21" ht="15.75" thickBot="1"/>
    <row r="44" spans="5:21" ht="15.75" thickBot="1">
      <c r="S44" s="80" t="s">
        <v>448</v>
      </c>
      <c r="T44" s="81">
        <f>T40/T42</f>
        <v>0.58554004376912006</v>
      </c>
    </row>
  </sheetData>
  <mergeCells count="13">
    <mergeCell ref="S33:U33"/>
    <mergeCell ref="S28:T28"/>
    <mergeCell ref="T29:U29"/>
    <mergeCell ref="E24:G24"/>
    <mergeCell ref="L24:N24"/>
    <mergeCell ref="S24:U24"/>
    <mergeCell ref="C3:F3"/>
    <mergeCell ref="I3:O3"/>
    <mergeCell ref="Q3:W3"/>
    <mergeCell ref="D8:F8"/>
    <mergeCell ref="H8:J8"/>
    <mergeCell ref="L8:N8"/>
    <mergeCell ref="Q8:S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B2:W52"/>
  <sheetViews>
    <sheetView workbookViewId="0">
      <selection activeCell="Q9" sqref="Q9"/>
    </sheetView>
  </sheetViews>
  <sheetFormatPr baseColWidth="10" defaultRowHeight="15"/>
  <cols>
    <col min="2" max="2" width="27.5703125" customWidth="1"/>
  </cols>
  <sheetData>
    <row r="2" spans="2:23" ht="15.75" thickBot="1"/>
    <row r="3" spans="2:23" ht="15.75" thickBot="1">
      <c r="C3" s="156" t="s">
        <v>20</v>
      </c>
      <c r="D3" s="157"/>
      <c r="E3" s="157"/>
      <c r="F3" s="158"/>
      <c r="I3" s="156" t="s">
        <v>28</v>
      </c>
      <c r="J3" s="157"/>
      <c r="K3" s="157"/>
      <c r="L3" s="157"/>
      <c r="M3" s="157"/>
      <c r="N3" s="157"/>
      <c r="O3" s="158"/>
      <c r="Q3" s="156" t="s">
        <v>29</v>
      </c>
      <c r="R3" s="157"/>
      <c r="S3" s="157"/>
      <c r="T3" s="157"/>
      <c r="U3" s="157"/>
      <c r="V3" s="157"/>
      <c r="W3" s="158"/>
    </row>
    <row r="4" spans="2:23" ht="15.75" thickBot="1">
      <c r="C4" s="9" t="s">
        <v>13</v>
      </c>
      <c r="D4" s="10" t="s">
        <v>15</v>
      </c>
      <c r="E4" s="74" t="s">
        <v>16</v>
      </c>
      <c r="F4" s="75" t="s">
        <v>18</v>
      </c>
      <c r="I4" s="73" t="s">
        <v>21</v>
      </c>
      <c r="J4" s="15" t="s">
        <v>22</v>
      </c>
      <c r="K4" s="15" t="s">
        <v>23</v>
      </c>
      <c r="L4" s="15" t="s">
        <v>24</v>
      </c>
      <c r="M4" s="75" t="s">
        <v>25</v>
      </c>
      <c r="N4" s="75" t="s">
        <v>26</v>
      </c>
      <c r="O4" s="75" t="s">
        <v>27</v>
      </c>
      <c r="Q4" s="9" t="s">
        <v>30</v>
      </c>
      <c r="R4" s="73" t="s">
        <v>31</v>
      </c>
      <c r="S4" s="74" t="s">
        <v>32</v>
      </c>
      <c r="T4" s="10" t="s">
        <v>33</v>
      </c>
      <c r="U4" s="19" t="s">
        <v>34</v>
      </c>
      <c r="V4" s="10" t="s">
        <v>35</v>
      </c>
      <c r="W4" s="20" t="s">
        <v>36</v>
      </c>
    </row>
    <row r="5" spans="2:23">
      <c r="B5" t="s">
        <v>404</v>
      </c>
      <c r="C5">
        <v>1</v>
      </c>
      <c r="D5">
        <v>1</v>
      </c>
      <c r="E5">
        <v>1</v>
      </c>
      <c r="F5">
        <v>2</v>
      </c>
      <c r="J5">
        <v>1</v>
      </c>
      <c r="K5">
        <v>2</v>
      </c>
      <c r="L5">
        <v>2</v>
      </c>
      <c r="M5">
        <v>2</v>
      </c>
      <c r="N5">
        <v>2</v>
      </c>
      <c r="O5">
        <v>2</v>
      </c>
      <c r="Q5">
        <v>2</v>
      </c>
      <c r="R5">
        <v>2</v>
      </c>
      <c r="S5">
        <v>2</v>
      </c>
      <c r="T5">
        <v>2</v>
      </c>
      <c r="U5">
        <v>2</v>
      </c>
      <c r="V5">
        <v>2</v>
      </c>
      <c r="W5">
        <v>2</v>
      </c>
    </row>
    <row r="6" spans="2:23">
      <c r="B6" t="s">
        <v>407</v>
      </c>
      <c r="C6" t="s">
        <v>409</v>
      </c>
      <c r="D6">
        <v>700</v>
      </c>
      <c r="E6">
        <v>360</v>
      </c>
      <c r="J6">
        <v>400</v>
      </c>
    </row>
    <row r="7" spans="2:23">
      <c r="B7" t="s">
        <v>406</v>
      </c>
      <c r="C7">
        <v>1</v>
      </c>
      <c r="D7">
        <v>1</v>
      </c>
      <c r="E7">
        <v>1</v>
      </c>
      <c r="F7">
        <v>1</v>
      </c>
      <c r="J7">
        <v>1</v>
      </c>
      <c r="K7">
        <v>2</v>
      </c>
      <c r="L7">
        <v>1</v>
      </c>
      <c r="M7">
        <v>1</v>
      </c>
      <c r="N7">
        <v>2</v>
      </c>
      <c r="O7">
        <v>1</v>
      </c>
      <c r="Q7">
        <v>2</v>
      </c>
      <c r="R7">
        <v>2</v>
      </c>
      <c r="S7">
        <v>2</v>
      </c>
      <c r="T7">
        <v>1</v>
      </c>
      <c r="U7">
        <v>2</v>
      </c>
      <c r="V7">
        <v>2</v>
      </c>
      <c r="W7">
        <v>2</v>
      </c>
    </row>
    <row r="8" spans="2:23">
      <c r="B8" t="s">
        <v>405</v>
      </c>
      <c r="C8" t="s">
        <v>409</v>
      </c>
      <c r="D8" t="s">
        <v>408</v>
      </c>
      <c r="E8" t="s">
        <v>408</v>
      </c>
      <c r="F8" t="s">
        <v>410</v>
      </c>
      <c r="J8" t="s">
        <v>418</v>
      </c>
      <c r="L8" t="s">
        <v>422</v>
      </c>
      <c r="M8" t="s">
        <v>423</v>
      </c>
      <c r="T8" t="s">
        <v>417</v>
      </c>
    </row>
    <row r="9" spans="2:23">
      <c r="B9" t="s">
        <v>411</v>
      </c>
      <c r="C9" t="s">
        <v>413</v>
      </c>
      <c r="D9" t="s">
        <v>412</v>
      </c>
      <c r="E9" t="s">
        <v>412</v>
      </c>
      <c r="F9" t="s">
        <v>102</v>
      </c>
      <c r="J9" t="s">
        <v>412</v>
      </c>
      <c r="K9" t="s">
        <v>421</v>
      </c>
      <c r="L9" t="s">
        <v>393</v>
      </c>
      <c r="M9" t="s">
        <v>412</v>
      </c>
      <c r="N9" t="s">
        <v>393</v>
      </c>
      <c r="O9" t="s">
        <v>424</v>
      </c>
      <c r="Q9" t="s">
        <v>414</v>
      </c>
      <c r="R9" t="s">
        <v>393</v>
      </c>
      <c r="T9" t="s">
        <v>412</v>
      </c>
      <c r="U9" t="s">
        <v>393</v>
      </c>
      <c r="V9" t="s">
        <v>393</v>
      </c>
      <c r="W9" t="s">
        <v>393</v>
      </c>
    </row>
    <row r="10" spans="2:23" ht="15.75" thickBot="1"/>
    <row r="11" spans="2:23" ht="15.75" thickBot="1">
      <c r="D11" s="31" t="s">
        <v>429</v>
      </c>
      <c r="E11" s="32"/>
      <c r="F11" s="32"/>
      <c r="G11" s="18"/>
      <c r="I11" s="31" t="s">
        <v>430</v>
      </c>
      <c r="J11" s="32"/>
      <c r="K11" s="32"/>
      <c r="L11" s="18"/>
      <c r="N11" s="31" t="s">
        <v>431</v>
      </c>
      <c r="O11" s="32"/>
      <c r="P11" s="32"/>
      <c r="Q11" s="18"/>
      <c r="S11" s="31" t="s">
        <v>432</v>
      </c>
      <c r="T11" s="32"/>
      <c r="U11" s="32"/>
      <c r="V11" s="18"/>
    </row>
    <row r="12" spans="2:23">
      <c r="D12" s="2" t="s">
        <v>425</v>
      </c>
      <c r="E12" s="23"/>
      <c r="F12" s="23"/>
      <c r="G12" s="3">
        <f>4/17*100</f>
        <v>23.52941176470588</v>
      </c>
      <c r="I12" s="2" t="s">
        <v>425</v>
      </c>
      <c r="J12" s="23"/>
      <c r="K12" s="23"/>
      <c r="L12" s="3">
        <v>75</v>
      </c>
      <c r="N12" s="2" t="s">
        <v>425</v>
      </c>
      <c r="O12" s="23"/>
      <c r="P12" s="23"/>
      <c r="Q12" s="3">
        <f>1/6*100</f>
        <v>16.666666666666664</v>
      </c>
      <c r="S12" s="2" t="s">
        <v>425</v>
      </c>
      <c r="T12" s="23"/>
      <c r="U12" s="23"/>
      <c r="V12" s="3">
        <v>0</v>
      </c>
    </row>
    <row r="13" spans="2:23">
      <c r="D13" s="2" t="s">
        <v>426</v>
      </c>
      <c r="E13" s="23"/>
      <c r="F13" s="23"/>
      <c r="G13" s="3">
        <f>100-G12</f>
        <v>76.470588235294116</v>
      </c>
      <c r="I13" s="2" t="s">
        <v>426</v>
      </c>
      <c r="J13" s="23"/>
      <c r="K13" s="23"/>
      <c r="L13" s="3">
        <f>100-L12</f>
        <v>25</v>
      </c>
      <c r="N13" s="2" t="s">
        <v>426</v>
      </c>
      <c r="O13" s="23"/>
      <c r="P13" s="23"/>
      <c r="Q13" s="3">
        <f>100-Q12</f>
        <v>83.333333333333343</v>
      </c>
      <c r="S13" s="2" t="s">
        <v>426</v>
      </c>
      <c r="T13" s="23"/>
      <c r="U13" s="23"/>
      <c r="V13" s="3">
        <f>100-V12</f>
        <v>100</v>
      </c>
    </row>
    <row r="14" spans="2:23">
      <c r="D14" s="2" t="s">
        <v>427</v>
      </c>
      <c r="E14" s="23"/>
      <c r="F14" s="23"/>
      <c r="G14" s="3">
        <f>9/17*100</f>
        <v>52.941176470588239</v>
      </c>
      <c r="I14" s="2" t="s">
        <v>427</v>
      </c>
      <c r="J14" s="23"/>
      <c r="K14" s="23"/>
      <c r="L14" s="3">
        <v>100</v>
      </c>
      <c r="N14" s="2" t="s">
        <v>427</v>
      </c>
      <c r="O14" s="23"/>
      <c r="P14" s="23"/>
      <c r="Q14" s="3">
        <f>4/6*100</f>
        <v>66.666666666666657</v>
      </c>
      <c r="S14" s="2" t="s">
        <v>427</v>
      </c>
      <c r="T14" s="23"/>
      <c r="U14" s="23"/>
      <c r="V14" s="3">
        <f>1/7*100</f>
        <v>14.285714285714285</v>
      </c>
    </row>
    <row r="15" spans="2:23" ht="15.75" thickBot="1">
      <c r="D15" s="4" t="s">
        <v>428</v>
      </c>
      <c r="E15" s="24"/>
      <c r="F15" s="24"/>
      <c r="G15" s="5">
        <f>100-G14</f>
        <v>47.058823529411761</v>
      </c>
      <c r="I15" s="4" t="s">
        <v>428</v>
      </c>
      <c r="J15" s="24"/>
      <c r="K15" s="24"/>
      <c r="L15" s="5">
        <v>0</v>
      </c>
      <c r="N15" s="4" t="s">
        <v>428</v>
      </c>
      <c r="O15" s="24"/>
      <c r="P15" s="24"/>
      <c r="Q15" s="5">
        <f>100-Q14</f>
        <v>33.333333333333343</v>
      </c>
      <c r="S15" s="4" t="s">
        <v>428</v>
      </c>
      <c r="T15" s="24"/>
      <c r="U15" s="24"/>
      <c r="V15" s="5">
        <f>100-V14</f>
        <v>85.714285714285722</v>
      </c>
    </row>
    <row r="18" spans="4:23" ht="15.75" thickBot="1"/>
    <row r="19" spans="4:23" ht="15.75" thickBot="1">
      <c r="D19" s="16" t="s">
        <v>445</v>
      </c>
      <c r="E19" s="17"/>
      <c r="F19" s="17"/>
      <c r="K19" s="16" t="s">
        <v>445</v>
      </c>
      <c r="L19" s="17"/>
      <c r="M19" s="17"/>
    </row>
    <row r="20" spans="4:23" ht="15.75" thickBot="1">
      <c r="D20" s="76" t="s">
        <v>492</v>
      </c>
      <c r="E20" s="76"/>
      <c r="F20" s="76"/>
      <c r="K20" s="76" t="s">
        <v>493</v>
      </c>
      <c r="L20" s="76"/>
      <c r="M20" s="76"/>
      <c r="V20" s="16" t="s">
        <v>445</v>
      </c>
      <c r="W20" s="17"/>
    </row>
    <row r="21" spans="4:23" ht="15.75" thickBot="1">
      <c r="D21" t="s">
        <v>442</v>
      </c>
      <c r="E21">
        <f>3/4</f>
        <v>0.75</v>
      </c>
      <c r="K21" t="s">
        <v>442</v>
      </c>
      <c r="L21">
        <f>3/4</f>
        <v>0.75</v>
      </c>
      <c r="R21" s="156" t="s">
        <v>528</v>
      </c>
      <c r="S21" s="157"/>
      <c r="T21" s="158"/>
      <c r="V21" s="76" t="s">
        <v>493</v>
      </c>
      <c r="W21" s="76"/>
    </row>
    <row r="22" spans="4:23" ht="15.75" thickBot="1">
      <c r="D22" t="s">
        <v>443</v>
      </c>
      <c r="E22">
        <f>1/6</f>
        <v>0.16666666666666666</v>
      </c>
      <c r="K22" t="s">
        <v>443</v>
      </c>
      <c r="L22">
        <f>0/6</f>
        <v>0</v>
      </c>
      <c r="Q22" s="37"/>
      <c r="R22" s="14" t="s">
        <v>17</v>
      </c>
      <c r="S22" s="83" t="s">
        <v>327</v>
      </c>
      <c r="T22" s="12" t="s">
        <v>328</v>
      </c>
      <c r="V22" t="s">
        <v>442</v>
      </c>
      <c r="W22">
        <f>1/6</f>
        <v>0.16666666666666666</v>
      </c>
    </row>
    <row r="23" spans="4:23" ht="15.75" thickBot="1">
      <c r="Q23" s="31" t="s">
        <v>459</v>
      </c>
      <c r="R23" s="89">
        <f>L12</f>
        <v>75</v>
      </c>
      <c r="S23" s="88">
        <f>Q12</f>
        <v>16.666666666666664</v>
      </c>
      <c r="T23" s="10">
        <v>0</v>
      </c>
      <c r="V23" t="s">
        <v>443</v>
      </c>
      <c r="W23">
        <f>0/6</f>
        <v>0</v>
      </c>
    </row>
    <row r="24" spans="4:23" ht="15.75" thickBot="1">
      <c r="D24" t="s">
        <v>444</v>
      </c>
      <c r="E24">
        <f>4/10</f>
        <v>0.4</v>
      </c>
      <c r="K24" t="s">
        <v>444</v>
      </c>
      <c r="L24">
        <f>3/10</f>
        <v>0.3</v>
      </c>
      <c r="Q24" s="29" t="s">
        <v>393</v>
      </c>
      <c r="R24" s="89">
        <f>L13</f>
        <v>25</v>
      </c>
      <c r="S24" s="88">
        <f>Q13</f>
        <v>83.333333333333343</v>
      </c>
      <c r="T24" s="10">
        <v>100</v>
      </c>
    </row>
    <row r="25" spans="4:23" ht="15.75" thickBot="1">
      <c r="Q25" s="12" t="s">
        <v>529</v>
      </c>
      <c r="R25" s="201">
        <f>E30</f>
        <v>1.8446619684315546</v>
      </c>
      <c r="S25" s="155"/>
      <c r="T25" s="87"/>
      <c r="V25" t="s">
        <v>444</v>
      </c>
      <c r="W25">
        <f>1/12</f>
        <v>8.3333333333333329E-2</v>
      </c>
    </row>
    <row r="26" spans="4:23" ht="15.75" thickBot="1">
      <c r="D26" s="50" t="s">
        <v>446</v>
      </c>
      <c r="E26">
        <f>E21-E22</f>
        <v>0.58333333333333337</v>
      </c>
      <c r="K26" s="50" t="s">
        <v>446</v>
      </c>
      <c r="L26">
        <f>L21-L22</f>
        <v>0.75</v>
      </c>
      <c r="Q26" s="12" t="s">
        <v>529</v>
      </c>
      <c r="R26" s="85"/>
      <c r="S26" s="199">
        <f>W31</f>
        <v>1.044465935734187</v>
      </c>
      <c r="T26" s="200"/>
    </row>
    <row r="27" spans="4:23" ht="15.75" thickBot="1">
      <c r="D27" t="s">
        <v>447</v>
      </c>
      <c r="E27">
        <f>((E24*(1-E24))/4)+((E24*(1-E24)/6))</f>
        <v>0.1</v>
      </c>
      <c r="K27" t="s">
        <v>447</v>
      </c>
      <c r="L27">
        <f>((L24*(1-L24))/4)+((L24*(1-L24)/6))</f>
        <v>8.7499999999999994E-2</v>
      </c>
      <c r="Q27" s="12" t="s">
        <v>522</v>
      </c>
      <c r="R27" s="92">
        <f>L30</f>
        <v>2.5354627641855498</v>
      </c>
      <c r="S27" s="93"/>
      <c r="T27" s="94">
        <f>R27</f>
        <v>2.5354627641855498</v>
      </c>
      <c r="V27" s="50" t="s">
        <v>446</v>
      </c>
      <c r="W27">
        <f>W22-W23</f>
        <v>0.16666666666666666</v>
      </c>
    </row>
    <row r="28" spans="4:23">
      <c r="D28" s="50" t="s">
        <v>447</v>
      </c>
      <c r="E28">
        <f>SQRT(E27)</f>
        <v>0.31622776601683794</v>
      </c>
      <c r="K28" s="50" t="s">
        <v>447</v>
      </c>
      <c r="L28">
        <f>SQRT(L27)</f>
        <v>0.2958039891549808</v>
      </c>
      <c r="V28" t="s">
        <v>447</v>
      </c>
      <c r="W28">
        <f>((W25*(1-W25))/6)+((W25*(1-W25)/6))</f>
        <v>2.5462962962962962E-2</v>
      </c>
    </row>
    <row r="29" spans="4:23" ht="15.75" thickBot="1">
      <c r="V29" s="50" t="s">
        <v>447</v>
      </c>
      <c r="W29">
        <f>SQRT(W28)</f>
        <v>0.15957118462605635</v>
      </c>
    </row>
    <row r="30" spans="4:23" ht="15.75" thickBot="1">
      <c r="D30" s="58" t="s">
        <v>448</v>
      </c>
      <c r="E30" s="12">
        <f>E26/E28</f>
        <v>1.8446619684315546</v>
      </c>
      <c r="F30">
        <f>NORMSDIST(E30)</f>
        <v>0.96745663675361671</v>
      </c>
      <c r="K30" s="58" t="s">
        <v>448</v>
      </c>
      <c r="L30" s="12">
        <f>L26/L28</f>
        <v>2.5354627641855498</v>
      </c>
      <c r="M30">
        <f>NORMSDIST(L30)</f>
        <v>0.99438505667354171</v>
      </c>
    </row>
    <row r="31" spans="4:23" ht="15.75" thickBot="1">
      <c r="V31" s="58" t="s">
        <v>448</v>
      </c>
      <c r="W31" s="12">
        <f>W27/W29</f>
        <v>1.044465935734187</v>
      </c>
    </row>
    <row r="32" spans="4:23">
      <c r="E32" s="50"/>
    </row>
    <row r="33" spans="4:19">
      <c r="E33" s="50"/>
    </row>
    <row r="40" spans="4:19" ht="15.75" thickBot="1"/>
    <row r="41" spans="4:19" ht="15.75" thickBot="1">
      <c r="D41" s="16" t="s">
        <v>445</v>
      </c>
      <c r="E41" s="17"/>
      <c r="F41" s="17"/>
      <c r="L41" s="16" t="s">
        <v>445</v>
      </c>
      <c r="M41" s="17"/>
      <c r="N41" s="17"/>
    </row>
    <row r="42" spans="4:19">
      <c r="D42" s="76" t="s">
        <v>494</v>
      </c>
      <c r="E42" s="76"/>
      <c r="F42" s="76"/>
      <c r="L42" s="76" t="s">
        <v>494</v>
      </c>
      <c r="M42" s="76"/>
      <c r="N42" s="76"/>
      <c r="R42" s="76" t="s">
        <v>530</v>
      </c>
      <c r="S42" s="76"/>
    </row>
    <row r="43" spans="4:19">
      <c r="D43" t="s">
        <v>442</v>
      </c>
      <c r="E43">
        <f>4/4</f>
        <v>1</v>
      </c>
      <c r="L43" t="s">
        <v>442</v>
      </c>
      <c r="M43">
        <f>4/4</f>
        <v>1</v>
      </c>
      <c r="R43" t="s">
        <v>442</v>
      </c>
      <c r="S43">
        <f>E44</f>
        <v>0.66666666666666663</v>
      </c>
    </row>
    <row r="44" spans="4:19">
      <c r="D44" t="s">
        <v>443</v>
      </c>
      <c r="E44">
        <f>4/6</f>
        <v>0.66666666666666663</v>
      </c>
      <c r="L44" t="s">
        <v>443</v>
      </c>
      <c r="M44">
        <f>1/7</f>
        <v>0.14285714285714285</v>
      </c>
      <c r="R44" t="s">
        <v>443</v>
      </c>
      <c r="S44">
        <f>1/7</f>
        <v>0.14285714285714285</v>
      </c>
    </row>
    <row r="46" spans="4:19">
      <c r="D46" t="s">
        <v>444</v>
      </c>
      <c r="E46">
        <f>8/10</f>
        <v>0.8</v>
      </c>
      <c r="L46" t="s">
        <v>444</v>
      </c>
      <c r="M46">
        <f>5/11</f>
        <v>0.45454545454545453</v>
      </c>
      <c r="R46" t="s">
        <v>444</v>
      </c>
      <c r="S46">
        <f>5/13</f>
        <v>0.38461538461538464</v>
      </c>
    </row>
    <row r="48" spans="4:19">
      <c r="D48" s="50" t="s">
        <v>446</v>
      </c>
      <c r="E48">
        <f>E43-E44</f>
        <v>0.33333333333333337</v>
      </c>
      <c r="L48" s="50" t="s">
        <v>446</v>
      </c>
      <c r="M48">
        <f>M43-M44</f>
        <v>0.85714285714285721</v>
      </c>
      <c r="R48" s="50" t="s">
        <v>446</v>
      </c>
      <c r="S48">
        <f>S43-S44</f>
        <v>0.52380952380952372</v>
      </c>
    </row>
    <row r="49" spans="4:19">
      <c r="D49" t="s">
        <v>447</v>
      </c>
      <c r="E49">
        <f>((E46*(1-E46))/4)+((E46*(1-E46)/6))</f>
        <v>6.6666666666666652E-2</v>
      </c>
      <c r="L49" t="s">
        <v>447</v>
      </c>
      <c r="M49">
        <f>((M46*(1-M46))/4)+((M46*(1-M46)/7))</f>
        <v>9.7402597402597393E-2</v>
      </c>
      <c r="R49" t="s">
        <v>447</v>
      </c>
      <c r="S49">
        <f>((S46*(1-S46))/6)+((S46*(1-S46)/7))</f>
        <v>7.3260073260073263E-2</v>
      </c>
    </row>
    <row r="50" spans="4:19">
      <c r="D50" s="50" t="s">
        <v>447</v>
      </c>
      <c r="E50">
        <f>SQRT(E49)</f>
        <v>0.2581988897471611</v>
      </c>
      <c r="L50" s="50" t="s">
        <v>447</v>
      </c>
      <c r="M50">
        <f>SQRT(M49)</f>
        <v>0.31209389196617959</v>
      </c>
      <c r="R50" s="50" t="s">
        <v>447</v>
      </c>
      <c r="S50">
        <f>SQRT(S49)</f>
        <v>0.27066598098038341</v>
      </c>
    </row>
    <row r="51" spans="4:19" ht="15.75" thickBot="1"/>
    <row r="52" spans="4:19" ht="15.75" thickBot="1">
      <c r="D52" s="58" t="s">
        <v>448</v>
      </c>
      <c r="E52" s="12">
        <f>E48/E50</f>
        <v>1.2909944487358058</v>
      </c>
      <c r="L52" s="58" t="s">
        <v>448</v>
      </c>
      <c r="M52" s="12">
        <f>M48/M50</f>
        <v>2.7464262493023814</v>
      </c>
      <c r="R52" s="58" t="s">
        <v>448</v>
      </c>
      <c r="S52" s="12">
        <f>S48/S50</f>
        <v>1.9352617640097407</v>
      </c>
    </row>
  </sheetData>
  <mergeCells count="6">
    <mergeCell ref="S26:T26"/>
    <mergeCell ref="C3:F3"/>
    <mergeCell ref="I3:O3"/>
    <mergeCell ref="Q3:W3"/>
    <mergeCell ref="R21:T21"/>
    <mergeCell ref="R25:S25"/>
  </mergeCell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dimension ref="C2:X8"/>
  <sheetViews>
    <sheetView workbookViewId="0">
      <selection activeCell="F13" sqref="F13"/>
    </sheetView>
  </sheetViews>
  <sheetFormatPr baseColWidth="10" defaultRowHeight="15"/>
  <cols>
    <col min="3" max="3" width="20.42578125" customWidth="1"/>
  </cols>
  <sheetData>
    <row r="2" spans="3:24" ht="15.75" thickBot="1"/>
    <row r="3" spans="3:24" ht="15.75" thickBot="1">
      <c r="D3" s="156" t="s">
        <v>20</v>
      </c>
      <c r="E3" s="157"/>
      <c r="F3" s="157"/>
      <c r="G3" s="158"/>
      <c r="J3" s="156" t="s">
        <v>28</v>
      </c>
      <c r="K3" s="157"/>
      <c r="L3" s="157"/>
      <c r="M3" s="157"/>
      <c r="N3" s="157"/>
      <c r="O3" s="157"/>
      <c r="P3" s="158"/>
      <c r="R3" s="156" t="s">
        <v>29</v>
      </c>
      <c r="S3" s="157"/>
      <c r="T3" s="157"/>
      <c r="U3" s="157"/>
      <c r="V3" s="157"/>
      <c r="W3" s="157"/>
      <c r="X3" s="158"/>
    </row>
    <row r="4" spans="3:24" ht="15.75" thickBot="1">
      <c r="D4" s="9" t="s">
        <v>13</v>
      </c>
      <c r="E4" s="10" t="s">
        <v>15</v>
      </c>
      <c r="F4" s="19" t="s">
        <v>16</v>
      </c>
      <c r="G4" s="15" t="s">
        <v>18</v>
      </c>
      <c r="J4" s="10" t="s">
        <v>21</v>
      </c>
      <c r="K4" s="15" t="s">
        <v>22</v>
      </c>
      <c r="L4" s="15" t="s">
        <v>23</v>
      </c>
      <c r="M4" s="15" t="s">
        <v>24</v>
      </c>
      <c r="N4" s="15" t="s">
        <v>25</v>
      </c>
      <c r="O4" s="15" t="s">
        <v>26</v>
      </c>
      <c r="P4" s="15" t="s">
        <v>27</v>
      </c>
      <c r="R4" s="9" t="s">
        <v>30</v>
      </c>
      <c r="S4" s="10" t="s">
        <v>31</v>
      </c>
      <c r="T4" s="19" t="s">
        <v>32</v>
      </c>
      <c r="U4" s="10" t="s">
        <v>33</v>
      </c>
      <c r="V4" s="19" t="s">
        <v>34</v>
      </c>
      <c r="W4" s="10" t="s">
        <v>35</v>
      </c>
      <c r="X4" s="20" t="s">
        <v>36</v>
      </c>
    </row>
    <row r="5" spans="3:24" ht="15.75" thickBot="1">
      <c r="C5" s="6" t="s">
        <v>439</v>
      </c>
      <c r="D5" s="47">
        <v>74320</v>
      </c>
      <c r="E5" s="7">
        <v>60480</v>
      </c>
      <c r="F5" s="23">
        <v>640</v>
      </c>
      <c r="G5" s="21">
        <v>3900</v>
      </c>
      <c r="J5">
        <v>3440</v>
      </c>
      <c r="K5">
        <v>3946</v>
      </c>
      <c r="L5">
        <v>4550</v>
      </c>
      <c r="M5">
        <v>1933</v>
      </c>
      <c r="N5">
        <v>6152</v>
      </c>
      <c r="O5">
        <v>4110</v>
      </c>
      <c r="P5">
        <v>1880</v>
      </c>
      <c r="R5">
        <v>4025</v>
      </c>
      <c r="S5">
        <v>908</v>
      </c>
      <c r="T5">
        <v>2940</v>
      </c>
      <c r="U5">
        <v>820</v>
      </c>
      <c r="V5">
        <v>455</v>
      </c>
      <c r="W5">
        <v>100</v>
      </c>
      <c r="X5">
        <v>1890</v>
      </c>
    </row>
    <row r="6" spans="3:24" ht="15.75" thickBot="1">
      <c r="C6" s="7" t="s">
        <v>440</v>
      </c>
      <c r="D6" s="32">
        <v>8.52</v>
      </c>
      <c r="E6" s="32">
        <v>6</v>
      </c>
      <c r="F6" s="32">
        <v>15.16</v>
      </c>
      <c r="G6" s="32">
        <v>4.72</v>
      </c>
      <c r="H6" s="32"/>
      <c r="J6" s="32">
        <v>7.2799999999999994</v>
      </c>
      <c r="K6" s="32">
        <v>11.16</v>
      </c>
      <c r="L6" s="32">
        <v>3.34</v>
      </c>
      <c r="M6" s="32">
        <v>4.08</v>
      </c>
      <c r="N6" s="32">
        <v>6.6400000000000006</v>
      </c>
      <c r="O6" s="32">
        <v>5.6</v>
      </c>
      <c r="P6" s="32">
        <v>5.84</v>
      </c>
      <c r="R6" s="32">
        <v>7.5</v>
      </c>
      <c r="S6" s="32">
        <v>1.7999999999999998</v>
      </c>
      <c r="T6" s="32">
        <v>7.08</v>
      </c>
      <c r="U6" s="32">
        <v>6.4700000000000006</v>
      </c>
      <c r="V6" s="32">
        <v>6.51</v>
      </c>
      <c r="W6" s="32">
        <v>1.46</v>
      </c>
      <c r="X6" s="18">
        <v>9.01</v>
      </c>
    </row>
    <row r="7" spans="3:24">
      <c r="C7" s="7"/>
    </row>
    <row r="8" spans="3:24" ht="15.75" thickBot="1">
      <c r="C8" s="8" t="s">
        <v>441</v>
      </c>
      <c r="D8">
        <f>D5/D6</f>
        <v>8723.0046948356812</v>
      </c>
      <c r="E8">
        <f t="shared" ref="E8:X8" si="0">E5/E6</f>
        <v>10080</v>
      </c>
      <c r="F8">
        <f t="shared" si="0"/>
        <v>42.21635883905013</v>
      </c>
      <c r="G8">
        <f t="shared" si="0"/>
        <v>826.27118644067798</v>
      </c>
      <c r="J8">
        <f t="shared" si="0"/>
        <v>472.52747252747258</v>
      </c>
      <c r="K8">
        <f t="shared" si="0"/>
        <v>353.584229390681</v>
      </c>
      <c r="L8">
        <f t="shared" si="0"/>
        <v>1362.2754491017965</v>
      </c>
      <c r="M8">
        <f t="shared" si="0"/>
        <v>473.77450980392155</v>
      </c>
      <c r="N8">
        <f t="shared" si="0"/>
        <v>926.50602409638543</v>
      </c>
      <c r="O8">
        <f t="shared" si="0"/>
        <v>733.92857142857144</v>
      </c>
      <c r="P8">
        <f t="shared" si="0"/>
        <v>321.91780821917808</v>
      </c>
      <c r="R8">
        <f t="shared" si="0"/>
        <v>536.66666666666663</v>
      </c>
      <c r="S8">
        <f t="shared" si="0"/>
        <v>504.44444444444451</v>
      </c>
      <c r="T8">
        <f t="shared" si="0"/>
        <v>415.25423728813558</v>
      </c>
      <c r="U8">
        <f t="shared" si="0"/>
        <v>126.7387944358578</v>
      </c>
      <c r="V8">
        <f t="shared" si="0"/>
        <v>69.892473118279568</v>
      </c>
      <c r="W8">
        <f t="shared" si="0"/>
        <v>68.493150684931507</v>
      </c>
      <c r="X8">
        <f t="shared" si="0"/>
        <v>209.7669256381798</v>
      </c>
    </row>
  </sheetData>
  <mergeCells count="3">
    <mergeCell ref="D3:G3"/>
    <mergeCell ref="J3:P3"/>
    <mergeCell ref="R3:X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C2:AO41"/>
  <sheetViews>
    <sheetView topLeftCell="J1" workbookViewId="0">
      <selection activeCell="W18" sqref="W18"/>
    </sheetView>
  </sheetViews>
  <sheetFormatPr baseColWidth="10" defaultRowHeight="15"/>
  <cols>
    <col min="3" max="3" width="26.42578125" customWidth="1"/>
  </cols>
  <sheetData>
    <row r="2" spans="3:24" ht="15.75" thickBot="1"/>
    <row r="3" spans="3:24" ht="15.75" thickBot="1">
      <c r="D3" s="156" t="s">
        <v>20</v>
      </c>
      <c r="E3" s="157"/>
      <c r="F3" s="157"/>
      <c r="G3" s="158"/>
      <c r="J3" s="156" t="s">
        <v>28</v>
      </c>
      <c r="K3" s="157"/>
      <c r="L3" s="157"/>
      <c r="M3" s="157"/>
      <c r="N3" s="157"/>
      <c r="O3" s="157"/>
      <c r="P3" s="158"/>
      <c r="R3" s="156" t="s">
        <v>29</v>
      </c>
      <c r="S3" s="157"/>
      <c r="T3" s="157"/>
      <c r="U3" s="157"/>
      <c r="V3" s="157"/>
      <c r="W3" s="157"/>
      <c r="X3" s="158"/>
    </row>
    <row r="4" spans="3:24" ht="15.75" thickBot="1">
      <c r="D4" s="9" t="s">
        <v>13</v>
      </c>
      <c r="E4" s="10" t="s">
        <v>15</v>
      </c>
      <c r="F4" s="74" t="s">
        <v>16</v>
      </c>
      <c r="G4" s="75" t="s">
        <v>18</v>
      </c>
      <c r="J4" s="73" t="s">
        <v>21</v>
      </c>
      <c r="K4" s="15" t="s">
        <v>22</v>
      </c>
      <c r="L4" s="15" t="s">
        <v>23</v>
      </c>
      <c r="M4" s="15" t="s">
        <v>24</v>
      </c>
      <c r="N4" s="75" t="s">
        <v>25</v>
      </c>
      <c r="O4" s="75" t="s">
        <v>26</v>
      </c>
      <c r="P4" s="75" t="s">
        <v>27</v>
      </c>
      <c r="R4" s="9" t="s">
        <v>30</v>
      </c>
      <c r="S4" s="73" t="s">
        <v>31</v>
      </c>
      <c r="T4" s="74" t="s">
        <v>32</v>
      </c>
      <c r="U4" s="10" t="s">
        <v>33</v>
      </c>
      <c r="V4" s="19" t="s">
        <v>34</v>
      </c>
      <c r="W4" s="10" t="s">
        <v>35</v>
      </c>
      <c r="X4" s="20" t="s">
        <v>36</v>
      </c>
    </row>
    <row r="5" spans="3:24">
      <c r="C5" t="s">
        <v>495</v>
      </c>
      <c r="D5">
        <v>5000</v>
      </c>
      <c r="E5">
        <v>400</v>
      </c>
      <c r="F5">
        <v>500</v>
      </c>
      <c r="G5">
        <v>450</v>
      </c>
      <c r="J5">
        <v>600</v>
      </c>
      <c r="K5">
        <v>1420</v>
      </c>
      <c r="M5">
        <v>150</v>
      </c>
      <c r="N5">
        <v>0</v>
      </c>
      <c r="O5">
        <v>455</v>
      </c>
      <c r="P5">
        <v>250</v>
      </c>
      <c r="R5">
        <v>400</v>
      </c>
      <c r="S5">
        <v>0</v>
      </c>
      <c r="T5">
        <v>0</v>
      </c>
      <c r="U5">
        <v>400</v>
      </c>
      <c r="V5">
        <v>0</v>
      </c>
      <c r="W5">
        <v>0</v>
      </c>
    </row>
    <row r="6" spans="3:24">
      <c r="C6" t="s">
        <v>496</v>
      </c>
      <c r="D6">
        <v>15000</v>
      </c>
      <c r="E6">
        <v>10000</v>
      </c>
      <c r="F6">
        <v>12000</v>
      </c>
      <c r="G6">
        <v>9100</v>
      </c>
      <c r="J6">
        <v>450</v>
      </c>
      <c r="K6">
        <v>3100</v>
      </c>
      <c r="M6">
        <v>2500</v>
      </c>
      <c r="N6">
        <v>0</v>
      </c>
      <c r="O6">
        <v>800</v>
      </c>
      <c r="P6">
        <v>3360</v>
      </c>
      <c r="R6">
        <v>1000</v>
      </c>
      <c r="S6">
        <v>0</v>
      </c>
      <c r="T6">
        <v>0</v>
      </c>
      <c r="U6">
        <v>100</v>
      </c>
      <c r="V6">
        <v>0</v>
      </c>
      <c r="W6">
        <v>0</v>
      </c>
      <c r="X6">
        <v>1100</v>
      </c>
    </row>
    <row r="7" spans="3:24">
      <c r="C7" t="s">
        <v>497</v>
      </c>
      <c r="D7">
        <v>4</v>
      </c>
      <c r="E7">
        <v>12</v>
      </c>
      <c r="F7">
        <v>10</v>
      </c>
      <c r="G7">
        <v>30</v>
      </c>
      <c r="J7">
        <v>0</v>
      </c>
      <c r="K7">
        <v>0</v>
      </c>
      <c r="M7">
        <v>0</v>
      </c>
      <c r="N7">
        <v>0</v>
      </c>
      <c r="O7">
        <v>0</v>
      </c>
      <c r="P7">
        <v>5</v>
      </c>
      <c r="R7">
        <v>200</v>
      </c>
      <c r="S7">
        <v>0</v>
      </c>
      <c r="T7">
        <v>0</v>
      </c>
      <c r="U7">
        <v>0</v>
      </c>
      <c r="V7">
        <v>0</v>
      </c>
      <c r="W7">
        <v>0</v>
      </c>
      <c r="X7">
        <v>0</v>
      </c>
    </row>
    <row r="8" spans="3:24">
      <c r="C8" t="s">
        <v>504</v>
      </c>
      <c r="D8">
        <v>120</v>
      </c>
      <c r="E8">
        <v>88</v>
      </c>
      <c r="F8" t="s">
        <v>498</v>
      </c>
      <c r="G8">
        <v>300</v>
      </c>
      <c r="N8" t="s">
        <v>501</v>
      </c>
      <c r="P8">
        <v>50</v>
      </c>
      <c r="S8" t="s">
        <v>502</v>
      </c>
      <c r="U8" t="s">
        <v>503</v>
      </c>
      <c r="W8">
        <v>0</v>
      </c>
    </row>
    <row r="10" spans="3:24">
      <c r="C10" t="s">
        <v>499</v>
      </c>
      <c r="D10" t="s">
        <v>500</v>
      </c>
      <c r="E10">
        <v>600</v>
      </c>
      <c r="F10">
        <v>2000</v>
      </c>
      <c r="G10">
        <v>500</v>
      </c>
      <c r="J10">
        <v>200</v>
      </c>
      <c r="K10">
        <v>1000</v>
      </c>
      <c r="N10">
        <v>1000</v>
      </c>
      <c r="O10">
        <v>200</v>
      </c>
      <c r="P10">
        <v>100</v>
      </c>
      <c r="R10">
        <v>300</v>
      </c>
      <c r="S10">
        <v>100</v>
      </c>
      <c r="T10">
        <v>200</v>
      </c>
      <c r="U10">
        <v>35</v>
      </c>
      <c r="V10">
        <v>100</v>
      </c>
      <c r="W10">
        <v>40</v>
      </c>
      <c r="X10">
        <v>300</v>
      </c>
    </row>
    <row r="11" spans="3:24">
      <c r="C11" t="s">
        <v>511</v>
      </c>
      <c r="M11" t="s">
        <v>520</v>
      </c>
      <c r="P11" t="s">
        <v>394</v>
      </c>
      <c r="R11" t="s">
        <v>394</v>
      </c>
      <c r="S11" t="s">
        <v>394</v>
      </c>
      <c r="W11" t="s">
        <v>394</v>
      </c>
    </row>
    <row r="12" spans="3:24">
      <c r="M12" t="s">
        <v>521</v>
      </c>
      <c r="P12" t="s">
        <v>518</v>
      </c>
      <c r="R12" t="s">
        <v>517</v>
      </c>
      <c r="S12" t="s">
        <v>516</v>
      </c>
      <c r="U12" t="s">
        <v>514</v>
      </c>
      <c r="W12" t="s">
        <v>515</v>
      </c>
      <c r="X12" t="s">
        <v>512</v>
      </c>
    </row>
    <row r="13" spans="3:24">
      <c r="X13" t="s">
        <v>513</v>
      </c>
    </row>
    <row r="14" spans="3:24">
      <c r="H14" t="s">
        <v>510</v>
      </c>
      <c r="I14" t="s">
        <v>327</v>
      </c>
      <c r="J14" t="s">
        <v>328</v>
      </c>
      <c r="N14" t="s">
        <v>519</v>
      </c>
    </row>
    <row r="15" spans="3:24">
      <c r="G15" t="s">
        <v>506</v>
      </c>
      <c r="H15">
        <f>(13500+600+200+500)/4</f>
        <v>3700</v>
      </c>
      <c r="I15">
        <f>(J10+K10+N10+O10+P10)/5</f>
        <v>500</v>
      </c>
    </row>
    <row r="16" spans="3:24">
      <c r="G16" t="s">
        <v>507</v>
      </c>
      <c r="H16">
        <f>SUM(D5:G5)</f>
        <v>6350</v>
      </c>
      <c r="I16" s="82">
        <f>(J5+K5+M5+O5+P5+0)/6</f>
        <v>479.16666666666669</v>
      </c>
    </row>
    <row r="17" spans="4:39">
      <c r="G17" t="s">
        <v>508</v>
      </c>
      <c r="H17">
        <f>(SUM(D6:G6))/4</f>
        <v>11525</v>
      </c>
      <c r="I17">
        <f>(J6+K6+M6+O6+P6+0)/6</f>
        <v>1701.6666666666667</v>
      </c>
    </row>
    <row r="18" spans="4:39">
      <c r="G18" t="s">
        <v>509</v>
      </c>
      <c r="H18">
        <f>(D7+E7+F7+G7)/4</f>
        <v>14</v>
      </c>
      <c r="I18">
        <f>5/6</f>
        <v>0.83333333333333337</v>
      </c>
    </row>
    <row r="19" spans="4:39">
      <c r="G19" t="s">
        <v>505</v>
      </c>
      <c r="H19">
        <f>(120+88+90+300)/4</f>
        <v>149.5</v>
      </c>
    </row>
    <row r="22" spans="4:39" ht="15.75" thickBot="1"/>
    <row r="23" spans="4:39" ht="15.75" thickBot="1">
      <c r="F23" s="12" t="s">
        <v>510</v>
      </c>
      <c r="G23" s="32" t="s">
        <v>544</v>
      </c>
      <c r="H23" s="12" t="s">
        <v>545</v>
      </c>
    </row>
    <row r="24" spans="4:39" ht="15.75" thickBot="1">
      <c r="D24" s="31" t="s">
        <v>541</v>
      </c>
      <c r="E24" s="32"/>
      <c r="F24" s="10">
        <f>(D5+E5+F5+G5)/4</f>
        <v>1587.5</v>
      </c>
      <c r="G24" s="108">
        <v>479.16666666666669</v>
      </c>
      <c r="H24" s="89">
        <f>800/7</f>
        <v>114.28571428571429</v>
      </c>
    </row>
    <row r="25" spans="4:39" ht="15.75" thickBot="1">
      <c r="D25" s="39" t="s">
        <v>542</v>
      </c>
      <c r="E25" s="44"/>
      <c r="F25" s="7">
        <f>(D6+E6+F6+G6)/4</f>
        <v>11525</v>
      </c>
      <c r="G25" s="109">
        <v>1701.6666666666667</v>
      </c>
      <c r="H25" s="110">
        <f>2200/7</f>
        <v>314.28571428571428</v>
      </c>
    </row>
    <row r="26" spans="4:39" ht="15.75" thickBot="1">
      <c r="D26" s="31" t="s">
        <v>78</v>
      </c>
      <c r="E26" s="32"/>
      <c r="F26" s="10">
        <f>F25+F24</f>
        <v>13112.5</v>
      </c>
      <c r="G26" s="108">
        <f t="shared" ref="G26:H26" si="0">G25+G24</f>
        <v>2180.8333333333335</v>
      </c>
      <c r="H26" s="89">
        <f t="shared" si="0"/>
        <v>428.57142857142856</v>
      </c>
      <c r="J26">
        <v>34835</v>
      </c>
      <c r="K26">
        <v>3715.8571428571427</v>
      </c>
      <c r="L26">
        <v>1591.1428571428571</v>
      </c>
    </row>
    <row r="27" spans="4:39" ht="15.75" thickBot="1">
      <c r="D27" s="29" t="s">
        <v>543</v>
      </c>
      <c r="E27" s="72"/>
      <c r="F27" s="8">
        <v>3700</v>
      </c>
      <c r="G27" s="24">
        <v>500</v>
      </c>
      <c r="H27" s="111">
        <f>(R10+S10+T10+U10+V10+W10+X10)/7</f>
        <v>153.57142857142858</v>
      </c>
      <c r="J27">
        <v>13112.5</v>
      </c>
      <c r="K27">
        <v>2180.8333333333335</v>
      </c>
      <c r="L27">
        <v>428.57142857142856</v>
      </c>
    </row>
    <row r="28" spans="4:39" ht="15.75" thickBot="1">
      <c r="D28" s="31" t="s">
        <v>546</v>
      </c>
      <c r="E28" s="18"/>
      <c r="F28" s="108">
        <f>F26/J28*100</f>
        <v>27.34761979248136</v>
      </c>
      <c r="G28" s="89">
        <f t="shared" ref="G28:H28" si="1">G26/K28*100</f>
        <v>36.984022514647044</v>
      </c>
      <c r="H28" s="89">
        <f t="shared" si="1"/>
        <v>21.219408685811285</v>
      </c>
      <c r="J28">
        <f>J27+J26</f>
        <v>47947.5</v>
      </c>
      <c r="K28">
        <f t="shared" ref="K28:L28" si="2">K27+K26</f>
        <v>5896.6904761904761</v>
      </c>
      <c r="L28">
        <f t="shared" si="2"/>
        <v>2019.7142857142858</v>
      </c>
    </row>
    <row r="31" spans="4:39">
      <c r="AL31" t="s">
        <v>544</v>
      </c>
    </row>
    <row r="32" spans="4:39">
      <c r="AH32" t="s">
        <v>541</v>
      </c>
      <c r="AJ32">
        <v>1587.5</v>
      </c>
      <c r="AL32" s="82">
        <v>479.16666666666669</v>
      </c>
      <c r="AM32" s="82">
        <v>114.28571428571429</v>
      </c>
    </row>
    <row r="33" spans="34:41">
      <c r="AH33" t="s">
        <v>542</v>
      </c>
      <c r="AJ33">
        <v>11525</v>
      </c>
      <c r="AL33" s="82">
        <v>1701.6666666666667</v>
      </c>
      <c r="AM33" s="82">
        <v>314.28571428571428</v>
      </c>
    </row>
    <row r="34" spans="34:41">
      <c r="AH34" t="s">
        <v>78</v>
      </c>
      <c r="AJ34">
        <v>13112.5</v>
      </c>
      <c r="AL34" s="82">
        <v>2180.8333333333335</v>
      </c>
      <c r="AM34" s="82">
        <v>428.57142857142856</v>
      </c>
    </row>
    <row r="35" spans="34:41">
      <c r="AH35" t="s">
        <v>543</v>
      </c>
      <c r="AJ35">
        <v>3700</v>
      </c>
      <c r="AL35">
        <v>500</v>
      </c>
      <c r="AM35" s="82">
        <v>153.57142857142858</v>
      </c>
    </row>
    <row r="36" spans="34:41" ht="15.75" thickBot="1">
      <c r="AH36" t="s">
        <v>546</v>
      </c>
      <c r="AJ36" s="82">
        <v>27.34761979248136</v>
      </c>
      <c r="AL36" s="82">
        <v>36.984022514647044</v>
      </c>
      <c r="AM36" s="82">
        <v>21.219408685811285</v>
      </c>
    </row>
    <row r="37" spans="34:41" ht="15.75" thickBot="1">
      <c r="AJ37" s="156" t="s">
        <v>510</v>
      </c>
      <c r="AK37" s="158"/>
      <c r="AL37" s="156" t="s">
        <v>544</v>
      </c>
      <c r="AM37" s="158"/>
      <c r="AN37" s="156" t="s">
        <v>545</v>
      </c>
      <c r="AO37" s="158"/>
    </row>
    <row r="38" spans="34:41" ht="15.75" thickBot="1">
      <c r="AJ38" s="95" t="s">
        <v>547</v>
      </c>
      <c r="AK38" s="117" t="s">
        <v>95</v>
      </c>
      <c r="AL38" s="96" t="s">
        <v>547</v>
      </c>
      <c r="AM38" s="117" t="s">
        <v>95</v>
      </c>
      <c r="AN38" s="95" t="s">
        <v>547</v>
      </c>
      <c r="AO38" s="117" t="s">
        <v>95</v>
      </c>
    </row>
    <row r="39" spans="34:41" ht="15.75" thickBot="1">
      <c r="AH39" s="13" t="s">
        <v>541</v>
      </c>
      <c r="AI39" s="71"/>
      <c r="AJ39" s="1">
        <v>1587.5</v>
      </c>
      <c r="AK39" s="114">
        <f>AJ39/AJ41*100</f>
        <v>12.106768350810295</v>
      </c>
      <c r="AL39" s="112">
        <v>479.16666666666669</v>
      </c>
      <c r="AM39" s="114">
        <f>AL39/AL41*100</f>
        <v>21.971723347344287</v>
      </c>
      <c r="AN39" s="113">
        <v>114.28571428571429</v>
      </c>
      <c r="AO39" s="114">
        <f>AN39/AN41*100</f>
        <v>26.666666666666671</v>
      </c>
    </row>
    <row r="40" spans="34:41" ht="15.75" thickBot="1">
      <c r="AH40" s="31" t="s">
        <v>542</v>
      </c>
      <c r="AI40" s="32"/>
      <c r="AJ40" s="9">
        <v>11525</v>
      </c>
      <c r="AK40" s="89">
        <f>AJ40/AJ41*100</f>
        <v>87.893231649189701</v>
      </c>
      <c r="AL40" s="108">
        <v>1701.6666666666667</v>
      </c>
      <c r="AM40" s="89">
        <f>AL40/AL41*100</f>
        <v>78.02827665265572</v>
      </c>
      <c r="AN40" s="86">
        <v>314.28571428571428</v>
      </c>
      <c r="AO40" s="89">
        <f>AN40/AN41*100</f>
        <v>73.333333333333343</v>
      </c>
    </row>
    <row r="41" spans="34:41" ht="15.75" thickBot="1">
      <c r="AH41" s="29" t="s">
        <v>43</v>
      </c>
      <c r="AI41" s="72"/>
      <c r="AJ41" s="4">
        <f>AJ40+AJ39</f>
        <v>13112.5</v>
      </c>
      <c r="AK41" s="8">
        <v>100</v>
      </c>
      <c r="AL41" s="116">
        <f t="shared" ref="AL41" si="3">AL40+AL39</f>
        <v>2180.8333333333335</v>
      </c>
      <c r="AM41" s="8">
        <v>100</v>
      </c>
      <c r="AN41" s="115">
        <f>AN40+AN39</f>
        <v>428.57142857142856</v>
      </c>
      <c r="AO41" s="8">
        <v>100</v>
      </c>
    </row>
  </sheetData>
  <mergeCells count="6">
    <mergeCell ref="AN37:AO37"/>
    <mergeCell ref="D3:G3"/>
    <mergeCell ref="J3:P3"/>
    <mergeCell ref="R3:X3"/>
    <mergeCell ref="AJ37:AK37"/>
    <mergeCell ref="AL37:AM37"/>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C3:X12"/>
  <sheetViews>
    <sheetView tabSelected="1" topLeftCell="J1" workbookViewId="0">
      <selection activeCell="V14" sqref="V14"/>
    </sheetView>
  </sheetViews>
  <sheetFormatPr baseColWidth="10" defaultRowHeight="15"/>
  <sheetData>
    <row r="3" spans="3:24" ht="15.75" thickBot="1"/>
    <row r="4" spans="3:24" ht="15.75" thickBot="1">
      <c r="E4" s="156" t="s">
        <v>20</v>
      </c>
      <c r="F4" s="157"/>
      <c r="G4" s="157"/>
      <c r="H4" s="158"/>
      <c r="J4" s="156" t="s">
        <v>28</v>
      </c>
      <c r="K4" s="157"/>
      <c r="L4" s="157"/>
      <c r="M4" s="157"/>
      <c r="N4" s="157"/>
      <c r="O4" s="157"/>
      <c r="P4" s="158"/>
      <c r="R4" s="156" t="s">
        <v>29</v>
      </c>
      <c r="S4" s="157"/>
      <c r="T4" s="157"/>
      <c r="U4" s="157"/>
      <c r="V4" s="157"/>
      <c r="W4" s="157"/>
      <c r="X4" s="158"/>
    </row>
    <row r="5" spans="3:24" ht="15.75" thickBot="1">
      <c r="E5" s="10" t="s">
        <v>13</v>
      </c>
      <c r="F5" s="10" t="s">
        <v>15</v>
      </c>
      <c r="G5" s="10" t="s">
        <v>16</v>
      </c>
      <c r="H5" s="15" t="s">
        <v>18</v>
      </c>
      <c r="J5" s="10" t="s">
        <v>21</v>
      </c>
      <c r="K5" s="15" t="s">
        <v>22</v>
      </c>
      <c r="L5" s="15" t="s">
        <v>23</v>
      </c>
      <c r="M5" s="15" t="s">
        <v>24</v>
      </c>
      <c r="N5" s="15" t="s">
        <v>25</v>
      </c>
      <c r="O5" s="15" t="s">
        <v>26</v>
      </c>
      <c r="P5" s="15" t="s">
        <v>27</v>
      </c>
      <c r="R5" s="9" t="s">
        <v>30</v>
      </c>
      <c r="S5" s="10" t="s">
        <v>31</v>
      </c>
      <c r="T5" s="19" t="s">
        <v>32</v>
      </c>
      <c r="U5" s="10" t="s">
        <v>33</v>
      </c>
      <c r="V5" s="19" t="s">
        <v>34</v>
      </c>
      <c r="W5" s="10" t="s">
        <v>35</v>
      </c>
      <c r="X5" s="20" t="s">
        <v>36</v>
      </c>
    </row>
    <row r="6" spans="3:24">
      <c r="C6" s="1" t="s">
        <v>39</v>
      </c>
      <c r="D6" s="6" t="s">
        <v>41</v>
      </c>
      <c r="E6">
        <v>9.5</v>
      </c>
      <c r="F6">
        <v>5</v>
      </c>
      <c r="G6">
        <v>2</v>
      </c>
      <c r="H6">
        <v>2.5</v>
      </c>
      <c r="J6">
        <v>1.5</v>
      </c>
      <c r="K6">
        <v>1.6</v>
      </c>
      <c r="L6">
        <v>2.5</v>
      </c>
      <c r="M6">
        <v>2.5</v>
      </c>
      <c r="N6">
        <v>1.5</v>
      </c>
      <c r="O6">
        <v>2</v>
      </c>
      <c r="P6">
        <v>0.5</v>
      </c>
      <c r="R6">
        <v>4</v>
      </c>
      <c r="S6">
        <v>0.25</v>
      </c>
      <c r="T6">
        <v>0.5</v>
      </c>
      <c r="U6">
        <v>0.15</v>
      </c>
      <c r="V6">
        <v>0.5</v>
      </c>
      <c r="W6">
        <v>2.5000000000000001E-2</v>
      </c>
      <c r="X6">
        <v>1.55</v>
      </c>
    </row>
    <row r="7" spans="3:24">
      <c r="C7" s="2"/>
      <c r="D7" s="7" t="s">
        <v>42</v>
      </c>
      <c r="F7">
        <v>1.25</v>
      </c>
      <c r="K7">
        <v>0.5</v>
      </c>
      <c r="N7">
        <v>0.25</v>
      </c>
      <c r="T7">
        <v>0.5</v>
      </c>
      <c r="V7">
        <v>0.5</v>
      </c>
    </row>
    <row r="8" spans="3:24" ht="15.75" thickBot="1">
      <c r="C8" s="4"/>
      <c r="D8" s="8" t="s">
        <v>43</v>
      </c>
      <c r="E8">
        <f>E6+E7</f>
        <v>9.5</v>
      </c>
      <c r="F8">
        <f t="shared" ref="F8:H8" si="0">F6+F7</f>
        <v>6.25</v>
      </c>
      <c r="G8">
        <f t="shared" si="0"/>
        <v>2</v>
      </c>
      <c r="H8">
        <f t="shared" si="0"/>
        <v>2.5</v>
      </c>
      <c r="J8">
        <f t="shared" ref="J8:P8" si="1">J6+J7</f>
        <v>1.5</v>
      </c>
      <c r="K8">
        <f t="shared" si="1"/>
        <v>2.1</v>
      </c>
      <c r="L8">
        <f t="shared" si="1"/>
        <v>2.5</v>
      </c>
      <c r="M8">
        <f t="shared" si="1"/>
        <v>2.5</v>
      </c>
      <c r="N8">
        <f t="shared" si="1"/>
        <v>1.75</v>
      </c>
      <c r="O8">
        <f t="shared" si="1"/>
        <v>2</v>
      </c>
      <c r="P8">
        <f t="shared" si="1"/>
        <v>0.5</v>
      </c>
      <c r="R8">
        <f t="shared" ref="R8:X8" si="2">R6+R7</f>
        <v>4</v>
      </c>
      <c r="S8">
        <f t="shared" si="2"/>
        <v>0.25</v>
      </c>
      <c r="T8">
        <f t="shared" si="2"/>
        <v>1</v>
      </c>
      <c r="U8">
        <f t="shared" si="2"/>
        <v>0.15</v>
      </c>
      <c r="V8">
        <f t="shared" si="2"/>
        <v>1</v>
      </c>
      <c r="W8">
        <f t="shared" si="2"/>
        <v>2.5000000000000001E-2</v>
      </c>
      <c r="X8">
        <f t="shared" si="2"/>
        <v>1.55</v>
      </c>
    </row>
    <row r="9" spans="3:24" ht="15.75" thickBot="1"/>
    <row r="10" spans="3:24" ht="15.75" thickBot="1">
      <c r="D10" s="1" t="s">
        <v>556</v>
      </c>
      <c r="E10" s="36"/>
      <c r="F10" s="36"/>
      <c r="G10" s="36"/>
      <c r="H10" s="36"/>
      <c r="I10" s="36"/>
      <c r="J10" s="36"/>
      <c r="K10" s="36"/>
      <c r="L10" s="36"/>
      <c r="M10" s="36"/>
      <c r="N10" s="36"/>
      <c r="O10" s="36"/>
      <c r="P10" s="36"/>
      <c r="Q10" s="36"/>
      <c r="R10" s="36"/>
      <c r="S10" s="36">
        <v>0.25</v>
      </c>
      <c r="T10" s="36">
        <v>0.5</v>
      </c>
      <c r="U10" s="36">
        <v>0.15</v>
      </c>
      <c r="V10" s="36">
        <v>1</v>
      </c>
      <c r="W10" s="36">
        <v>2.5000000000000001E-2</v>
      </c>
      <c r="X10" s="35">
        <v>0.05</v>
      </c>
    </row>
    <row r="11" spans="3:24" ht="15.75" thickBot="1">
      <c r="D11" s="4" t="s">
        <v>557</v>
      </c>
      <c r="E11" s="19"/>
      <c r="F11" s="19"/>
      <c r="G11" s="19"/>
      <c r="H11" s="19"/>
      <c r="I11" s="19"/>
      <c r="J11" s="19"/>
      <c r="K11" s="19"/>
      <c r="L11" s="19"/>
      <c r="M11" s="19"/>
      <c r="N11" s="19"/>
      <c r="O11" s="19"/>
      <c r="P11" s="19"/>
      <c r="Q11" s="19"/>
      <c r="R11" s="19"/>
      <c r="S11" s="19"/>
      <c r="T11" s="19">
        <v>0.5</v>
      </c>
      <c r="U11" s="19"/>
      <c r="V11" s="19"/>
      <c r="W11" s="19"/>
      <c r="X11" s="20">
        <v>1.5</v>
      </c>
    </row>
    <row r="12" spans="3:24" ht="15.75" thickBot="1">
      <c r="E12" s="24"/>
      <c r="F12" s="24"/>
      <c r="G12" s="24"/>
      <c r="H12" s="24"/>
      <c r="I12" s="24"/>
      <c r="J12" s="24"/>
      <c r="K12" s="24"/>
      <c r="L12" s="24"/>
      <c r="M12" s="24"/>
      <c r="N12" s="24"/>
      <c r="O12" s="24"/>
      <c r="P12" s="24"/>
      <c r="Q12" s="24"/>
      <c r="R12" s="24"/>
      <c r="S12" s="24"/>
      <c r="T12" s="24"/>
      <c r="U12" s="24"/>
      <c r="V12" s="24"/>
      <c r="W12" s="24"/>
      <c r="X12" s="5"/>
    </row>
  </sheetData>
  <mergeCells count="3">
    <mergeCell ref="E4:H4"/>
    <mergeCell ref="J4:P4"/>
    <mergeCell ref="R4:X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73"/>
  <sheetViews>
    <sheetView workbookViewId="0">
      <selection activeCell="C7" sqref="C7:V7"/>
    </sheetView>
  </sheetViews>
  <sheetFormatPr baseColWidth="10" defaultRowHeight="15"/>
  <cols>
    <col min="5" max="5" width="13" customWidth="1"/>
  </cols>
  <sheetData>
    <row r="1" spans="1:22">
      <c r="B1" t="s">
        <v>40</v>
      </c>
    </row>
    <row r="2" spans="1:22" ht="15.75" thickBot="1"/>
    <row r="3" spans="1:22" ht="15.75" thickBot="1">
      <c r="C3" s="156" t="s">
        <v>20</v>
      </c>
      <c r="D3" s="157"/>
      <c r="E3" s="157"/>
      <c r="F3" s="158"/>
      <c r="H3" s="156" t="s">
        <v>28</v>
      </c>
      <c r="I3" s="157"/>
      <c r="J3" s="157"/>
      <c r="K3" s="157"/>
      <c r="L3" s="157"/>
      <c r="M3" s="157"/>
      <c r="N3" s="158"/>
      <c r="P3" s="156" t="s">
        <v>29</v>
      </c>
      <c r="Q3" s="157"/>
      <c r="R3" s="157"/>
      <c r="S3" s="157"/>
      <c r="T3" s="157"/>
      <c r="U3" s="157"/>
      <c r="V3" s="158"/>
    </row>
    <row r="4" spans="1:22" ht="15.75" thickBot="1">
      <c r="C4" s="10" t="s">
        <v>13</v>
      </c>
      <c r="D4" s="10" t="s">
        <v>15</v>
      </c>
      <c r="E4" s="10" t="s">
        <v>16</v>
      </c>
      <c r="F4" s="15" t="s">
        <v>18</v>
      </c>
      <c r="H4" s="10" t="s">
        <v>21</v>
      </c>
      <c r="I4" s="15" t="s">
        <v>22</v>
      </c>
      <c r="J4" s="15" t="s">
        <v>23</v>
      </c>
      <c r="K4" s="15" t="s">
        <v>24</v>
      </c>
      <c r="L4" s="15" t="s">
        <v>25</v>
      </c>
      <c r="M4" s="15" t="s">
        <v>26</v>
      </c>
      <c r="N4" s="15" t="s">
        <v>27</v>
      </c>
      <c r="P4" s="9" t="s">
        <v>30</v>
      </c>
      <c r="Q4" s="10" t="s">
        <v>31</v>
      </c>
      <c r="R4" s="19" t="s">
        <v>32</v>
      </c>
      <c r="S4" s="10" t="s">
        <v>33</v>
      </c>
      <c r="T4" s="19" t="s">
        <v>34</v>
      </c>
      <c r="U4" s="10" t="s">
        <v>35</v>
      </c>
      <c r="V4" s="20" t="s">
        <v>36</v>
      </c>
    </row>
    <row r="5" spans="1:22">
      <c r="A5" s="1" t="s">
        <v>39</v>
      </c>
      <c r="B5" s="6" t="s">
        <v>41</v>
      </c>
      <c r="C5">
        <v>9.5</v>
      </c>
      <c r="D5">
        <v>5</v>
      </c>
      <c r="E5">
        <v>2</v>
      </c>
      <c r="F5">
        <v>2.5</v>
      </c>
      <c r="H5">
        <v>1.5</v>
      </c>
      <c r="I5">
        <v>1.6</v>
      </c>
      <c r="J5">
        <v>2.5</v>
      </c>
      <c r="K5">
        <v>2.5</v>
      </c>
      <c r="L5">
        <v>1.5</v>
      </c>
      <c r="M5">
        <v>2</v>
      </c>
      <c r="N5">
        <v>0.5</v>
      </c>
      <c r="P5">
        <v>4</v>
      </c>
      <c r="Q5">
        <v>0.25</v>
      </c>
      <c r="R5">
        <v>0.5</v>
      </c>
      <c r="S5">
        <v>0.15</v>
      </c>
      <c r="T5">
        <v>0.5</v>
      </c>
      <c r="U5">
        <v>2.5000000000000001E-2</v>
      </c>
      <c r="V5">
        <v>1.55</v>
      </c>
    </row>
    <row r="6" spans="1:22">
      <c r="A6" s="2"/>
      <c r="B6" s="7" t="s">
        <v>42</v>
      </c>
      <c r="D6">
        <v>1.25</v>
      </c>
      <c r="I6">
        <v>0.5</v>
      </c>
      <c r="L6">
        <v>0.25</v>
      </c>
      <c r="R6">
        <v>0.5</v>
      </c>
      <c r="T6">
        <v>0.5</v>
      </c>
    </row>
    <row r="7" spans="1:22" ht="15.75" thickBot="1">
      <c r="A7" s="4"/>
      <c r="B7" s="8" t="s">
        <v>43</v>
      </c>
      <c r="C7">
        <f>C5+C6</f>
        <v>9.5</v>
      </c>
      <c r="D7">
        <f t="shared" ref="D7:F7" si="0">D5+D6</f>
        <v>6.25</v>
      </c>
      <c r="E7">
        <f t="shared" si="0"/>
        <v>2</v>
      </c>
      <c r="F7">
        <f t="shared" si="0"/>
        <v>2.5</v>
      </c>
      <c r="H7">
        <f t="shared" ref="H7" si="1">H5+H6</f>
        <v>1.5</v>
      </c>
      <c r="I7">
        <f t="shared" ref="I7" si="2">I5+I6</f>
        <v>2.1</v>
      </c>
      <c r="J7">
        <f t="shared" ref="J7:K7" si="3">J5+J6</f>
        <v>2.5</v>
      </c>
      <c r="K7">
        <f t="shared" si="3"/>
        <v>2.5</v>
      </c>
      <c r="L7">
        <f t="shared" ref="L7" si="4">L5+L6</f>
        <v>1.75</v>
      </c>
      <c r="M7">
        <f t="shared" ref="M7" si="5">M5+M6</f>
        <v>2</v>
      </c>
      <c r="N7">
        <f t="shared" ref="N7" si="6">N5+N6</f>
        <v>0.5</v>
      </c>
      <c r="P7">
        <f t="shared" ref="P7" si="7">P5+P6</f>
        <v>4</v>
      </c>
      <c r="Q7">
        <f t="shared" ref="Q7" si="8">Q5+Q6</f>
        <v>0.25</v>
      </c>
      <c r="R7">
        <f t="shared" ref="R7:S7" si="9">R5+R6</f>
        <v>1</v>
      </c>
      <c r="S7">
        <f t="shared" si="9"/>
        <v>0.15</v>
      </c>
      <c r="T7">
        <f t="shared" ref="T7" si="10">T5+T6</f>
        <v>1</v>
      </c>
      <c r="U7">
        <f t="shared" ref="U7" si="11">U5+U6</f>
        <v>2.5000000000000001E-2</v>
      </c>
      <c r="V7">
        <f t="shared" ref="V7" si="12">V5+V6</f>
        <v>1.55</v>
      </c>
    </row>
    <row r="8" spans="1:22" ht="15.75" thickBot="1">
      <c r="C8" s="156" t="s">
        <v>92</v>
      </c>
      <c r="D8" s="157"/>
      <c r="E8" s="158"/>
      <c r="F8" s="12">
        <f>(SUM(C7:V7))/18</f>
        <v>2.2819444444444441</v>
      </c>
    </row>
    <row r="9" spans="1:22" ht="15.75" thickBot="1">
      <c r="C9" s="16" t="s">
        <v>44</v>
      </c>
      <c r="D9" s="17"/>
      <c r="E9" s="18"/>
      <c r="F9" s="12">
        <f>(SUM(C7:F7))/4</f>
        <v>5.0625</v>
      </c>
      <c r="I9" s="156" t="s">
        <v>45</v>
      </c>
      <c r="J9" s="157"/>
      <c r="K9" s="158"/>
      <c r="L9" s="12">
        <f>(SUM(H7:N7))/7</f>
        <v>1.8357142857142856</v>
      </c>
      <c r="Q9" s="156" t="s">
        <v>46</v>
      </c>
      <c r="R9" s="157"/>
      <c r="S9" s="158"/>
      <c r="T9" s="12">
        <f>(SUM(P7:V7))/7</f>
        <v>1.1392857142857145</v>
      </c>
    </row>
    <row r="11" spans="1:22" ht="15.75" thickBot="1"/>
    <row r="12" spans="1:22" ht="15.75" thickBot="1">
      <c r="D12" s="1"/>
      <c r="E12" s="36"/>
      <c r="F12" s="36"/>
      <c r="G12" s="6" t="s">
        <v>101</v>
      </c>
      <c r="H12" s="35" t="s">
        <v>95</v>
      </c>
    </row>
    <row r="13" spans="1:22" ht="15.75" thickBot="1">
      <c r="D13" s="9" t="s">
        <v>100</v>
      </c>
      <c r="E13" s="19"/>
      <c r="F13" s="19"/>
      <c r="G13" s="10">
        <f>D18+K18+R18</f>
        <v>34.475000000000001</v>
      </c>
      <c r="H13" s="20">
        <f>(G13/G15)*100</f>
        <v>90.78341013824884</v>
      </c>
    </row>
    <row r="14" spans="1:22" ht="15.75" thickBot="1">
      <c r="D14" s="2" t="s">
        <v>99</v>
      </c>
      <c r="E14" s="23"/>
      <c r="F14" s="23"/>
      <c r="G14" s="7">
        <f>D19+K19+R19</f>
        <v>3.5</v>
      </c>
      <c r="H14" s="3">
        <f>(G14/G15)*100</f>
        <v>9.216589861751153</v>
      </c>
    </row>
    <row r="15" spans="1:22" ht="15.75" thickBot="1">
      <c r="D15" s="9" t="s">
        <v>98</v>
      </c>
      <c r="E15" s="19"/>
      <c r="F15" s="19"/>
      <c r="G15" s="10">
        <f>G14+G13</f>
        <v>37.975000000000001</v>
      </c>
      <c r="H15" s="20">
        <f>H14+H13</f>
        <v>100</v>
      </c>
    </row>
    <row r="16" spans="1:22" ht="15.75" thickBot="1">
      <c r="C16" s="156" t="s">
        <v>93</v>
      </c>
      <c r="D16" s="159"/>
      <c r="E16" s="166"/>
      <c r="J16" s="156" t="s">
        <v>96</v>
      </c>
      <c r="K16" s="157"/>
      <c r="L16" s="158"/>
      <c r="Q16" s="156" t="s">
        <v>97</v>
      </c>
      <c r="R16" s="157"/>
      <c r="S16" s="158"/>
    </row>
    <row r="17" spans="3:20" ht="15.75" thickBot="1">
      <c r="C17" s="12"/>
      <c r="D17" s="18" t="s">
        <v>101</v>
      </c>
      <c r="E17" s="34" t="s">
        <v>95</v>
      </c>
      <c r="J17" s="13"/>
      <c r="K17" s="12" t="s">
        <v>101</v>
      </c>
      <c r="L17" s="12" t="s">
        <v>95</v>
      </c>
      <c r="Q17" s="1"/>
      <c r="R17" s="12" t="s">
        <v>101</v>
      </c>
      <c r="S17" s="12" t="s">
        <v>95</v>
      </c>
    </row>
    <row r="18" spans="3:20">
      <c r="C18" s="33" t="s">
        <v>41</v>
      </c>
      <c r="D18" s="7">
        <f>SUM(C5:F5)</f>
        <v>19</v>
      </c>
      <c r="E18" s="33">
        <f>(19/20.25)*100</f>
        <v>93.827160493827151</v>
      </c>
      <c r="J18" s="14" t="s">
        <v>41</v>
      </c>
      <c r="K18" s="7">
        <f>SUM(J5:M5)</f>
        <v>8.5</v>
      </c>
      <c r="L18" s="33">
        <f>(K18/K20)*100</f>
        <v>87.179487179487182</v>
      </c>
      <c r="Q18" s="14" t="s">
        <v>41</v>
      </c>
      <c r="R18" s="7">
        <f>SUM(P5:V5)</f>
        <v>6.9750000000000005</v>
      </c>
      <c r="S18" s="33">
        <f>(R18/R20)*100</f>
        <v>87.460815047021939</v>
      </c>
    </row>
    <row r="19" spans="3:20">
      <c r="C19" s="33" t="s">
        <v>94</v>
      </c>
      <c r="D19" s="7">
        <v>1.25</v>
      </c>
      <c r="E19" s="33">
        <f>(1.25/20.25)*100</f>
        <v>6.1728395061728394</v>
      </c>
      <c r="J19" s="33" t="s">
        <v>94</v>
      </c>
      <c r="K19" s="7">
        <v>1.25</v>
      </c>
      <c r="L19" s="33">
        <f>(1.25/K20)*100</f>
        <v>12.820512820512819</v>
      </c>
      <c r="Q19" s="33" t="s">
        <v>94</v>
      </c>
      <c r="R19" s="7">
        <v>1</v>
      </c>
      <c r="S19" s="33">
        <f>(R19/R20)*100</f>
        <v>12.539184952978054</v>
      </c>
    </row>
    <row r="20" spans="3:20" ht="15.75" thickBot="1">
      <c r="C20" s="8" t="s">
        <v>43</v>
      </c>
      <c r="D20" s="8">
        <f>D19+D18</f>
        <v>20.25</v>
      </c>
      <c r="E20" s="34">
        <f>E19+E18</f>
        <v>99.999999999999986</v>
      </c>
      <c r="J20" s="8" t="s">
        <v>43</v>
      </c>
      <c r="K20" s="8">
        <f>K19+K18</f>
        <v>9.75</v>
      </c>
      <c r="L20" s="34">
        <f>L19+L18</f>
        <v>100</v>
      </c>
      <c r="Q20" s="8" t="s">
        <v>43</v>
      </c>
      <c r="R20" s="8">
        <f>R19+R18</f>
        <v>7.9750000000000005</v>
      </c>
      <c r="S20" s="34">
        <f>S19+S18</f>
        <v>100</v>
      </c>
    </row>
    <row r="24" spans="3:20" ht="15.75" thickBot="1"/>
    <row r="25" spans="3:20" ht="15.75" thickBot="1">
      <c r="F25" s="156" t="s">
        <v>326</v>
      </c>
      <c r="G25" s="158"/>
      <c r="I25" s="156" t="s">
        <v>327</v>
      </c>
      <c r="J25" s="158"/>
      <c r="L25" s="156" t="s">
        <v>328</v>
      </c>
      <c r="M25" s="158"/>
    </row>
    <row r="26" spans="3:20" ht="15.75" thickBot="1">
      <c r="F26" s="16" t="s">
        <v>44</v>
      </c>
      <c r="G26" s="14">
        <v>5.0625</v>
      </c>
      <c r="I26" s="16" t="s">
        <v>349</v>
      </c>
      <c r="J26" s="14">
        <v>1.8357142857142856</v>
      </c>
      <c r="L26" s="16" t="s">
        <v>349</v>
      </c>
      <c r="M26" s="8">
        <v>1.1392857142857145</v>
      </c>
    </row>
    <row r="27" spans="3:20">
      <c r="F27" s="2" t="s">
        <v>321</v>
      </c>
      <c r="G27" s="3">
        <f>VAR(C7:F7)</f>
        <v>12.348958333333334</v>
      </c>
      <c r="I27" s="2" t="s">
        <v>329</v>
      </c>
      <c r="J27">
        <f>VAR(H7:N7)</f>
        <v>0.48059523809523813</v>
      </c>
      <c r="L27" s="2" t="s">
        <v>329</v>
      </c>
      <c r="M27">
        <f>VAR(P7:V7)</f>
        <v>1.9003869047619046</v>
      </c>
    </row>
    <row r="28" spans="3:20" ht="15.75" thickBot="1">
      <c r="F28" s="4" t="s">
        <v>325</v>
      </c>
      <c r="G28" s="5">
        <v>4</v>
      </c>
      <c r="I28" s="4" t="s">
        <v>325</v>
      </c>
      <c r="J28" s="5">
        <v>7</v>
      </c>
      <c r="L28" s="4" t="s">
        <v>325</v>
      </c>
      <c r="M28" s="5">
        <v>7</v>
      </c>
    </row>
    <row r="29" spans="3:20" ht="15.75" thickBot="1">
      <c r="F29" s="9" t="s">
        <v>315</v>
      </c>
      <c r="G29" s="3">
        <f xml:space="preserve"> STDEV(C7:F7)</f>
        <v>3.5141084692042921</v>
      </c>
      <c r="I29" s="9" t="s">
        <v>317</v>
      </c>
      <c r="J29" s="20">
        <f>STDEV(H7:P7)</f>
        <v>0.99872686813905998</v>
      </c>
      <c r="L29" s="9" t="s">
        <v>318</v>
      </c>
      <c r="M29">
        <f>STDEV(P7:V7)</f>
        <v>1.3785452131728957</v>
      </c>
    </row>
    <row r="30" spans="3:20" ht="15.75" thickBot="1">
      <c r="F30" s="23"/>
      <c r="G30" s="23"/>
      <c r="I30" s="23"/>
      <c r="J30" s="23"/>
      <c r="L30" s="23"/>
      <c r="M30" s="23"/>
    </row>
    <row r="31" spans="3:20" ht="15.75" thickBot="1">
      <c r="F31" s="23"/>
      <c r="G31" s="156" t="s">
        <v>350</v>
      </c>
      <c r="H31" s="157"/>
      <c r="I31" s="158"/>
      <c r="J31" s="23"/>
      <c r="L31" s="23"/>
      <c r="M31" s="156" t="s">
        <v>351</v>
      </c>
      <c r="N31" s="157"/>
      <c r="O31" s="158"/>
      <c r="R31" s="164" t="s">
        <v>487</v>
      </c>
      <c r="S31" s="165"/>
      <c r="T31" s="165"/>
    </row>
    <row r="32" spans="3:20">
      <c r="G32" t="s">
        <v>341</v>
      </c>
      <c r="I32">
        <f>(G28-1)*G27+(G28-1)*M27</f>
        <v>42.748035714285713</v>
      </c>
      <c r="M32" t="s">
        <v>341</v>
      </c>
      <c r="O32">
        <f>(G28-1)*G27+(G28-1)*J27</f>
        <v>38.488660714285714</v>
      </c>
      <c r="R32" t="s">
        <v>341</v>
      </c>
      <c r="T32">
        <f>(J28-1)*J27+(J28-1)*M27</f>
        <v>14.285892857142857</v>
      </c>
    </row>
    <row r="33" spans="7:20">
      <c r="G33" t="s">
        <v>342</v>
      </c>
      <c r="I33">
        <f>G28+J28-2</f>
        <v>9</v>
      </c>
      <c r="M33" t="s">
        <v>342</v>
      </c>
      <c r="O33">
        <v>9</v>
      </c>
      <c r="R33" t="s">
        <v>342</v>
      </c>
      <c r="T33">
        <v>12</v>
      </c>
    </row>
    <row r="34" spans="7:20">
      <c r="G34" t="s">
        <v>343</v>
      </c>
      <c r="I34">
        <f>I32/I33</f>
        <v>4.7497817460317462</v>
      </c>
      <c r="M34" t="s">
        <v>343</v>
      </c>
      <c r="O34">
        <f>O32/O33</f>
        <v>4.2765178571428573</v>
      </c>
      <c r="R34" t="s">
        <v>343</v>
      </c>
      <c r="T34">
        <f>T32/T33</f>
        <v>1.1904910714285715</v>
      </c>
    </row>
    <row r="35" spans="7:20">
      <c r="G35" s="50" t="s">
        <v>344</v>
      </c>
      <c r="I35">
        <f>SQRT(I34)</f>
        <v>2.1793994003008597</v>
      </c>
      <c r="M35" s="50" t="s">
        <v>344</v>
      </c>
      <c r="O35">
        <f>SQRT(O34)</f>
        <v>2.0679743366741419</v>
      </c>
      <c r="R35" s="50" t="s">
        <v>344</v>
      </c>
      <c r="T35">
        <f>SQRT(T34)</f>
        <v>1.0910962704677216</v>
      </c>
    </row>
    <row r="37" spans="7:20">
      <c r="G37" s="50" t="s">
        <v>345</v>
      </c>
      <c r="I37">
        <f>I38/(I39*I40)</f>
        <v>2.8720227513972607</v>
      </c>
      <c r="M37" s="50" t="s">
        <v>345</v>
      </c>
      <c r="O37">
        <f>O38/(O40*O35)</f>
        <v>2.4894743374058423</v>
      </c>
      <c r="R37" s="50" t="s">
        <v>345</v>
      </c>
      <c r="S37">
        <f>S38/(S40*T35)</f>
        <v>1.1941187863877063</v>
      </c>
    </row>
    <row r="38" spans="7:20">
      <c r="G38" t="s">
        <v>346</v>
      </c>
      <c r="I38">
        <f>G26-M26</f>
        <v>3.9232142857142858</v>
      </c>
      <c r="M38" t="s">
        <v>346</v>
      </c>
      <c r="O38">
        <f>G26-J26</f>
        <v>3.2267857142857146</v>
      </c>
      <c r="R38" t="s">
        <v>346</v>
      </c>
      <c r="S38">
        <f>J26-M26</f>
        <v>0.69642857142857117</v>
      </c>
    </row>
    <row r="39" spans="7:20">
      <c r="G39" t="s">
        <v>347</v>
      </c>
      <c r="I39">
        <f>I35</f>
        <v>2.1793994003008597</v>
      </c>
      <c r="M39" t="s">
        <v>347</v>
      </c>
      <c r="O39">
        <f>O35</f>
        <v>2.0679743366741419</v>
      </c>
      <c r="R39" t="s">
        <v>347</v>
      </c>
      <c r="S39">
        <f>T35</f>
        <v>1.0910962704677216</v>
      </c>
    </row>
    <row r="40" spans="7:20">
      <c r="G40" t="s">
        <v>348</v>
      </c>
      <c r="I40">
        <f>SQRT(1/4+1/7)</f>
        <v>0.62678317052800869</v>
      </c>
      <c r="M40" t="s">
        <v>348</v>
      </c>
      <c r="O40">
        <f>SQRT(1/4+1/7)</f>
        <v>0.62678317052800869</v>
      </c>
      <c r="R40" t="s">
        <v>348</v>
      </c>
      <c r="S40">
        <f>SQRT(1/7+1/7)</f>
        <v>0.53452248382484879</v>
      </c>
    </row>
    <row r="41" spans="7:20" ht="15.75" thickBot="1"/>
    <row r="42" spans="7:20" ht="15.75" thickBot="1">
      <c r="G42" s="58" t="s">
        <v>335</v>
      </c>
      <c r="H42" s="18">
        <f>TDIST(I37,9,2)</f>
        <v>1.841588001834462E-2</v>
      </c>
      <c r="M42" s="58" t="s">
        <v>335</v>
      </c>
      <c r="N42">
        <f>TDIST(O37,9,2)</f>
        <v>3.4451709310180365E-2</v>
      </c>
      <c r="R42" s="58" t="s">
        <v>335</v>
      </c>
      <c r="S42">
        <f>TDIST(S37,12,2)</f>
        <v>0.25550239810987774</v>
      </c>
    </row>
    <row r="48" spans="7:20" ht="15.75" thickBot="1"/>
    <row r="49" spans="5:12" ht="15.75" thickBot="1">
      <c r="F49" s="62" t="s">
        <v>352</v>
      </c>
      <c r="G49" s="61"/>
    </row>
    <row r="50" spans="5:12" ht="15.75" thickBot="1">
      <c r="E50" s="58" t="s">
        <v>355</v>
      </c>
      <c r="F50" s="61">
        <f>SUM(J54:L60)</f>
        <v>89.254473379629644</v>
      </c>
    </row>
    <row r="51" spans="5:12" ht="15.75" thickBot="1">
      <c r="E51" t="s">
        <v>354</v>
      </c>
      <c r="G51">
        <f>F8</f>
        <v>2.2819444444444441</v>
      </c>
    </row>
    <row r="52" spans="5:12" ht="15.75" thickBot="1">
      <c r="E52" s="160" t="s">
        <v>356</v>
      </c>
      <c r="F52" s="161"/>
      <c r="G52" s="161"/>
      <c r="H52" s="162"/>
      <c r="J52" s="160" t="s">
        <v>357</v>
      </c>
      <c r="K52" s="161"/>
      <c r="L52" s="162"/>
    </row>
    <row r="53" spans="5:12" ht="15.75" thickBot="1">
      <c r="E53" s="1"/>
      <c r="F53" s="10" t="s">
        <v>17</v>
      </c>
      <c r="G53" s="10" t="s">
        <v>327</v>
      </c>
      <c r="H53" s="20" t="s">
        <v>328</v>
      </c>
      <c r="J53" s="10" t="s">
        <v>17</v>
      </c>
      <c r="K53" s="10" t="s">
        <v>327</v>
      </c>
      <c r="L53" s="20" t="s">
        <v>328</v>
      </c>
    </row>
    <row r="54" spans="5:12">
      <c r="E54" s="2" t="s">
        <v>353</v>
      </c>
      <c r="F54" s="7">
        <f>9.5-G51</f>
        <v>7.2180555555555559</v>
      </c>
      <c r="G54" s="7">
        <f>1.5-G51</f>
        <v>-0.78194444444444411</v>
      </c>
      <c r="H54" s="3">
        <f>4-G51</f>
        <v>1.7180555555555559</v>
      </c>
      <c r="J54">
        <f>F54*F54</f>
        <v>52.100326003086423</v>
      </c>
      <c r="K54">
        <f t="shared" ref="K54:L60" si="13">G54*G54</f>
        <v>0.61143711419753033</v>
      </c>
      <c r="L54">
        <f t="shared" si="13"/>
        <v>2.95171489197531</v>
      </c>
    </row>
    <row r="55" spans="5:12">
      <c r="E55" s="2" t="s">
        <v>353</v>
      </c>
      <c r="F55" s="7">
        <f>6.25-G51</f>
        <v>3.9680555555555559</v>
      </c>
      <c r="G55" s="7">
        <f>2.1-G51</f>
        <v>-0.18194444444444402</v>
      </c>
      <c r="H55" s="3">
        <f>0.25-G51</f>
        <v>-2.0319444444444441</v>
      </c>
      <c r="J55">
        <f t="shared" ref="J55:J57" si="14">F55*F55</f>
        <v>15.745464891975312</v>
      </c>
      <c r="K55">
        <f t="shared" si="13"/>
        <v>3.310378086419738E-2</v>
      </c>
      <c r="L55">
        <f t="shared" si="13"/>
        <v>4.1287982253086408</v>
      </c>
    </row>
    <row r="56" spans="5:12">
      <c r="E56" s="2" t="s">
        <v>353</v>
      </c>
      <c r="F56" s="7">
        <f>2-G51</f>
        <v>-0.28194444444444411</v>
      </c>
      <c r="G56" s="7">
        <f>2.5-G51</f>
        <v>0.21805555555555589</v>
      </c>
      <c r="H56" s="3">
        <f>1-G51</f>
        <v>-1.2819444444444441</v>
      </c>
      <c r="J56">
        <f t="shared" si="14"/>
        <v>7.9492669753086234E-2</v>
      </c>
      <c r="K56">
        <f t="shared" si="13"/>
        <v>4.7548225308642118E-2</v>
      </c>
      <c r="L56">
        <f t="shared" si="13"/>
        <v>1.6433815586419744</v>
      </c>
    </row>
    <row r="57" spans="5:12">
      <c r="E57" s="2" t="s">
        <v>353</v>
      </c>
      <c r="F57" s="7">
        <f>2.5-G51</f>
        <v>0.21805555555555589</v>
      </c>
      <c r="G57" s="7">
        <f>2.5-G51</f>
        <v>0.21805555555555589</v>
      </c>
      <c r="H57" s="3">
        <f>0.15-G51</f>
        <v>-2.1319444444444442</v>
      </c>
      <c r="J57">
        <f t="shared" si="14"/>
        <v>4.7548225308642118E-2</v>
      </c>
      <c r="K57">
        <f t="shared" si="13"/>
        <v>4.7548225308642118E-2</v>
      </c>
      <c r="L57">
        <f t="shared" si="13"/>
        <v>4.54518711419753</v>
      </c>
    </row>
    <row r="58" spans="5:12">
      <c r="E58" s="2" t="s">
        <v>353</v>
      </c>
      <c r="F58" s="7"/>
      <c r="G58" s="7">
        <f>1.75-G51</f>
        <v>-0.53194444444444411</v>
      </c>
      <c r="H58" s="3">
        <f>1-G51</f>
        <v>-1.2819444444444441</v>
      </c>
      <c r="L58">
        <f t="shared" si="13"/>
        <v>1.6433815586419744</v>
      </c>
    </row>
    <row r="59" spans="5:12">
      <c r="E59" s="2" t="s">
        <v>353</v>
      </c>
      <c r="F59" s="7"/>
      <c r="G59" s="7">
        <f>2-G51</f>
        <v>-0.28194444444444411</v>
      </c>
      <c r="H59" s="3">
        <f>0.025-G51</f>
        <v>-2.2569444444444442</v>
      </c>
      <c r="L59">
        <f t="shared" si="13"/>
        <v>5.0937982253086407</v>
      </c>
    </row>
    <row r="60" spans="5:12" ht="15.75" thickBot="1">
      <c r="E60" s="4" t="s">
        <v>353</v>
      </c>
      <c r="F60" s="8"/>
      <c r="G60" s="8">
        <f>0.5-G51</f>
        <v>-1.7819444444444441</v>
      </c>
      <c r="H60" s="5">
        <f>1.55-G51</f>
        <v>-0.73194444444444406</v>
      </c>
      <c r="L60">
        <f t="shared" si="13"/>
        <v>0.53574266975308582</v>
      </c>
    </row>
    <row r="61" spans="5:12" ht="15.75" thickBot="1"/>
    <row r="62" spans="5:12" ht="15.75" thickBot="1">
      <c r="E62" s="58" t="s">
        <v>358</v>
      </c>
      <c r="F62" s="61">
        <f>F67+G67+H67</f>
        <v>41.459489087301584</v>
      </c>
    </row>
    <row r="63" spans="5:12" ht="15.75" thickBot="1">
      <c r="E63" s="63"/>
      <c r="F63" s="65" t="s">
        <v>17</v>
      </c>
      <c r="G63" s="66" t="s">
        <v>327</v>
      </c>
      <c r="H63" s="65" t="s">
        <v>328</v>
      </c>
      <c r="I63" s="64"/>
      <c r="J63" s="37"/>
      <c r="K63" s="163"/>
      <c r="L63" s="163"/>
    </row>
    <row r="64" spans="5:12" ht="15.75" thickBot="1">
      <c r="E64" s="63" t="s">
        <v>349</v>
      </c>
      <c r="F64" s="15">
        <v>5.0625</v>
      </c>
      <c r="G64" s="15">
        <v>1.8357142857142856</v>
      </c>
      <c r="H64" s="22">
        <v>1.1392857142857145</v>
      </c>
      <c r="I64" s="37"/>
      <c r="J64" s="37"/>
      <c r="K64" s="64"/>
      <c r="L64" s="37"/>
    </row>
    <row r="65" spans="5:15">
      <c r="E65" s="64" t="s">
        <v>359</v>
      </c>
      <c r="F65">
        <f>F64-G51</f>
        <v>2.7805555555555559</v>
      </c>
      <c r="G65">
        <f>G64-G51</f>
        <v>-0.44623015873015848</v>
      </c>
      <c r="H65">
        <f>H64-G51</f>
        <v>-1.1426587301587297</v>
      </c>
    </row>
    <row r="66" spans="5:15" ht="15.75" thickBot="1">
      <c r="E66" s="64" t="s">
        <v>360</v>
      </c>
      <c r="F66">
        <f>F65*F65</f>
        <v>7.7314891975308662</v>
      </c>
      <c r="G66">
        <f t="shared" ref="G66:H66" si="15">G65*G65</f>
        <v>0.19912135456034244</v>
      </c>
      <c r="H66">
        <f t="shared" si="15"/>
        <v>1.3056689736079605</v>
      </c>
    </row>
    <row r="67" spans="5:15" ht="15.75" thickBot="1">
      <c r="E67" s="64" t="s">
        <v>361</v>
      </c>
      <c r="F67">
        <f>F66*4</f>
        <v>30.925956790123465</v>
      </c>
      <c r="G67">
        <f>G66*7</f>
        <v>1.393849481922397</v>
      </c>
      <c r="H67">
        <f>H66*7</f>
        <v>9.139682815255723</v>
      </c>
      <c r="M67" s="156" t="s">
        <v>379</v>
      </c>
      <c r="N67" s="157"/>
      <c r="O67" s="158"/>
    </row>
    <row r="68" spans="5:15" ht="15.75" thickBot="1">
      <c r="L68" s="12" t="s">
        <v>389</v>
      </c>
      <c r="M68" s="19" t="s">
        <v>380</v>
      </c>
      <c r="N68" s="10" t="s">
        <v>381</v>
      </c>
      <c r="O68" s="20" t="s">
        <v>382</v>
      </c>
    </row>
    <row r="69" spans="5:15" ht="15.75" thickBot="1">
      <c r="E69" s="31" t="s">
        <v>362</v>
      </c>
      <c r="F69" s="32"/>
      <c r="G69" s="32"/>
      <c r="H69" s="32"/>
      <c r="I69" s="18"/>
      <c r="L69" s="49" t="s">
        <v>384</v>
      </c>
      <c r="M69" s="68">
        <v>5.0625</v>
      </c>
      <c r="N69" s="49">
        <v>1.8357142857142856</v>
      </c>
      <c r="O69" s="49">
        <v>1.1392857142857145</v>
      </c>
    </row>
    <row r="70" spans="5:15" ht="15.75" thickBot="1">
      <c r="E70" s="2" t="s">
        <v>363</v>
      </c>
      <c r="F70" s="23" t="s">
        <v>364</v>
      </c>
      <c r="G70" s="23" t="s">
        <v>365</v>
      </c>
      <c r="H70" s="23" t="s">
        <v>366</v>
      </c>
      <c r="I70" s="3" t="s">
        <v>367</v>
      </c>
      <c r="L70" s="15" t="s">
        <v>385</v>
      </c>
      <c r="M70" s="19">
        <v>3.5141084692042921</v>
      </c>
      <c r="N70" s="20">
        <v>0.99872686813905998</v>
      </c>
      <c r="O70" s="20">
        <v>1.3785452131728957</v>
      </c>
    </row>
    <row r="71" spans="5:15" ht="15.75" thickBot="1">
      <c r="E71" s="2" t="s">
        <v>368</v>
      </c>
      <c r="F71" s="23">
        <f>F62</f>
        <v>41.459489087301584</v>
      </c>
      <c r="G71" s="23">
        <v>2</v>
      </c>
      <c r="H71" s="23">
        <f>F71/G71</f>
        <v>20.729744543650792</v>
      </c>
      <c r="I71" s="3">
        <f>H71/H72</f>
        <v>6.505832625719143</v>
      </c>
      <c r="L71" s="15" t="s">
        <v>387</v>
      </c>
      <c r="M71" s="154">
        <f>I71</f>
        <v>6.505832625719143</v>
      </c>
      <c r="N71" s="154"/>
      <c r="O71" s="155"/>
    </row>
    <row r="72" spans="5:15" ht="15.75" thickBot="1">
      <c r="E72" s="2" t="s">
        <v>369</v>
      </c>
      <c r="F72" s="23">
        <f>F73-F71</f>
        <v>47.79498429232806</v>
      </c>
      <c r="G72" s="23">
        <v>15</v>
      </c>
      <c r="H72" s="23">
        <f>F72/G72</f>
        <v>3.1863322861552041</v>
      </c>
      <c r="I72" s="3"/>
      <c r="L72" s="22" t="s">
        <v>386</v>
      </c>
      <c r="M72" s="154">
        <f>I73</f>
        <v>9.2393726724004886E-3</v>
      </c>
      <c r="N72" s="154"/>
      <c r="O72" s="155"/>
    </row>
    <row r="73" spans="5:15" ht="15.75" thickBot="1">
      <c r="E73" s="4" t="s">
        <v>78</v>
      </c>
      <c r="F73" s="24">
        <f>F50</f>
        <v>89.254473379629644</v>
      </c>
      <c r="G73" s="24">
        <v>17</v>
      </c>
      <c r="H73" s="24"/>
      <c r="I73" s="67">
        <f>FDIST(I71,G71,G72)</f>
        <v>9.2393726724004886E-3</v>
      </c>
    </row>
  </sheetData>
  <mergeCells count="21">
    <mergeCell ref="Q16:S16"/>
    <mergeCell ref="C3:F3"/>
    <mergeCell ref="H3:N3"/>
    <mergeCell ref="P3:V3"/>
    <mergeCell ref="I9:K9"/>
    <mergeCell ref="Q9:S9"/>
    <mergeCell ref="C8:E8"/>
    <mergeCell ref="C16:E16"/>
    <mergeCell ref="J16:L16"/>
    <mergeCell ref="M67:O67"/>
    <mergeCell ref="M71:O71"/>
    <mergeCell ref="M72:O72"/>
    <mergeCell ref="R31:T31"/>
    <mergeCell ref="F25:G25"/>
    <mergeCell ref="I25:J25"/>
    <mergeCell ref="L25:M25"/>
    <mergeCell ref="G31:I31"/>
    <mergeCell ref="M31:O31"/>
    <mergeCell ref="J52:L52"/>
    <mergeCell ref="E52:H52"/>
    <mergeCell ref="K63:L63"/>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dimension ref="A2:W86"/>
  <sheetViews>
    <sheetView topLeftCell="A4" workbookViewId="0">
      <selection activeCell="D20" sqref="D20:W20"/>
    </sheetView>
  </sheetViews>
  <sheetFormatPr baseColWidth="10" defaultRowHeight="15"/>
  <cols>
    <col min="5" max="5" width="12.85546875" customWidth="1"/>
    <col min="8" max="8" width="13.5703125" customWidth="1"/>
    <col min="10" max="10" width="13.42578125" customWidth="1"/>
    <col min="16" max="16" width="15.7109375" customWidth="1"/>
  </cols>
  <sheetData>
    <row r="2" spans="1:23" ht="15.75" thickBot="1"/>
    <row r="3" spans="1:23" ht="15.75" thickBot="1">
      <c r="D3" s="156" t="s">
        <v>20</v>
      </c>
      <c r="E3" s="157"/>
      <c r="F3" s="157"/>
      <c r="G3" s="158"/>
      <c r="I3" s="156" t="s">
        <v>28</v>
      </c>
      <c r="J3" s="157"/>
      <c r="K3" s="157"/>
      <c r="L3" s="157"/>
      <c r="M3" s="157"/>
      <c r="N3" s="157"/>
      <c r="O3" s="158"/>
      <c r="Q3" s="156" t="s">
        <v>29</v>
      </c>
      <c r="R3" s="157"/>
      <c r="S3" s="157"/>
      <c r="T3" s="157"/>
      <c r="U3" s="157"/>
      <c r="V3" s="157"/>
      <c r="W3" s="158"/>
    </row>
    <row r="4" spans="1:23" ht="15.75" thickBot="1">
      <c r="A4" s="159" t="s">
        <v>47</v>
      </c>
      <c r="B4" s="159"/>
      <c r="C4" s="166"/>
      <c r="D4" s="10" t="s">
        <v>13</v>
      </c>
      <c r="E4" s="10" t="s">
        <v>15</v>
      </c>
      <c r="F4" s="10" t="s">
        <v>16</v>
      </c>
      <c r="G4" s="15" t="s">
        <v>18</v>
      </c>
      <c r="I4" s="10" t="s">
        <v>21</v>
      </c>
      <c r="J4" s="15" t="s">
        <v>22</v>
      </c>
      <c r="K4" s="15" t="s">
        <v>23</v>
      </c>
      <c r="L4" s="15" t="s">
        <v>24</v>
      </c>
      <c r="M4" s="15" t="s">
        <v>25</v>
      </c>
      <c r="N4" s="15" t="s">
        <v>26</v>
      </c>
      <c r="O4" s="15" t="s">
        <v>27</v>
      </c>
      <c r="Q4" s="9" t="s">
        <v>30</v>
      </c>
      <c r="R4" s="10" t="s">
        <v>31</v>
      </c>
      <c r="S4" s="19" t="s">
        <v>32</v>
      </c>
      <c r="T4" s="10" t="s">
        <v>33</v>
      </c>
      <c r="U4" s="19" t="s">
        <v>34</v>
      </c>
      <c r="V4" s="10" t="s">
        <v>35</v>
      </c>
      <c r="W4" s="20" t="s">
        <v>36</v>
      </c>
    </row>
    <row r="5" spans="1:23" ht="15.75" thickBot="1">
      <c r="A5" s="9" t="s">
        <v>48</v>
      </c>
      <c r="B5" s="10" t="s">
        <v>49</v>
      </c>
      <c r="C5" s="20" t="s">
        <v>50</v>
      </c>
    </row>
    <row r="6" spans="1:23">
      <c r="A6" s="2" t="s">
        <v>51</v>
      </c>
      <c r="B6" s="7">
        <v>0.33</v>
      </c>
      <c r="C6" s="7">
        <v>0.33</v>
      </c>
      <c r="D6">
        <f>B6*0</f>
        <v>0</v>
      </c>
      <c r="E6">
        <f>B6*0</f>
        <v>0</v>
      </c>
      <c r="F6">
        <f>B6*0</f>
        <v>0</v>
      </c>
      <c r="G6">
        <f>B6*0</f>
        <v>0</v>
      </c>
      <c r="I6">
        <f>B6*0</f>
        <v>0</v>
      </c>
      <c r="J6">
        <f>B6*0</f>
        <v>0</v>
      </c>
      <c r="K6">
        <f>B6*0</f>
        <v>0</v>
      </c>
      <c r="L6">
        <f>B6*0</f>
        <v>0</v>
      </c>
      <c r="M6">
        <f>B6*0</f>
        <v>0</v>
      </c>
      <c r="N6">
        <f>B6*0</f>
        <v>0</v>
      </c>
      <c r="O6">
        <f>B6*0</f>
        <v>0</v>
      </c>
      <c r="Q6">
        <f>B6*0</f>
        <v>0</v>
      </c>
      <c r="R6">
        <f>B6*0</f>
        <v>0</v>
      </c>
      <c r="S6">
        <f>B6*0</f>
        <v>0</v>
      </c>
      <c r="T6">
        <f>B6*1</f>
        <v>0.33</v>
      </c>
      <c r="U6">
        <f>C6*1</f>
        <v>0.33</v>
      </c>
      <c r="V6">
        <f>B6*0</f>
        <v>0</v>
      </c>
      <c r="W6">
        <f>C6*1</f>
        <v>0.33</v>
      </c>
    </row>
    <row r="7" spans="1:23">
      <c r="A7" s="25" t="s">
        <v>52</v>
      </c>
      <c r="B7" s="7">
        <v>0.46</v>
      </c>
      <c r="C7" s="7">
        <v>0.46</v>
      </c>
      <c r="D7">
        <f t="shared" ref="D7:D18" si="0">B7*0</f>
        <v>0</v>
      </c>
      <c r="E7">
        <f>C7*1</f>
        <v>0.46</v>
      </c>
      <c r="F7">
        <f t="shared" ref="F7:F18" si="1">B7*0</f>
        <v>0</v>
      </c>
      <c r="G7">
        <f t="shared" ref="G7:G16" si="2">B7*0</f>
        <v>0</v>
      </c>
      <c r="I7">
        <f>B7*1</f>
        <v>0.46</v>
      </c>
      <c r="J7">
        <f t="shared" ref="J7:J18" si="3">B7*0</f>
        <v>0</v>
      </c>
      <c r="K7">
        <f t="shared" ref="K7:K15" si="4">B7*0</f>
        <v>0</v>
      </c>
      <c r="L7">
        <f t="shared" ref="L7:L15" si="5">B7*0</f>
        <v>0</v>
      </c>
      <c r="M7">
        <f t="shared" ref="M7:M18" si="6">B7*0</f>
        <v>0</v>
      </c>
      <c r="N7">
        <f t="shared" ref="N7:N18" si="7">B7*0</f>
        <v>0</v>
      </c>
      <c r="O7">
        <f t="shared" ref="O7:O18" si="8">B7*0</f>
        <v>0</v>
      </c>
      <c r="Q7">
        <f t="shared" ref="Q7:Q18" si="9">B7*0</f>
        <v>0</v>
      </c>
      <c r="R7">
        <f t="shared" ref="R7:R17" si="10">B7*0</f>
        <v>0</v>
      </c>
      <c r="S7">
        <f t="shared" ref="S7:S13" si="11">B7*0</f>
        <v>0</v>
      </c>
      <c r="T7">
        <f t="shared" ref="T7:T15" si="12">B7*0</f>
        <v>0</v>
      </c>
      <c r="U7">
        <f t="shared" ref="U7:U15" si="13">B7*0</f>
        <v>0</v>
      </c>
      <c r="V7">
        <f t="shared" ref="V7:V17" si="14">B7*0</f>
        <v>0</v>
      </c>
      <c r="W7">
        <f t="shared" ref="W7:W18" si="15">B7*0</f>
        <v>0</v>
      </c>
    </row>
    <row r="8" spans="1:23">
      <c r="A8" s="25" t="s">
        <v>53</v>
      </c>
      <c r="B8" s="7">
        <v>0.54</v>
      </c>
      <c r="C8" s="7">
        <v>0.54</v>
      </c>
      <c r="D8">
        <f t="shared" si="0"/>
        <v>0</v>
      </c>
      <c r="E8">
        <f t="shared" ref="E8:E9" si="16">C8*1</f>
        <v>0.54</v>
      </c>
      <c r="F8">
        <f t="shared" si="1"/>
        <v>0</v>
      </c>
      <c r="G8">
        <f t="shared" si="2"/>
        <v>0</v>
      </c>
      <c r="I8">
        <f>B8*2</f>
        <v>1.08</v>
      </c>
      <c r="J8">
        <f t="shared" si="3"/>
        <v>0</v>
      </c>
      <c r="K8">
        <f t="shared" si="4"/>
        <v>0</v>
      </c>
      <c r="L8">
        <f t="shared" si="5"/>
        <v>0</v>
      </c>
      <c r="M8">
        <f t="shared" si="6"/>
        <v>0</v>
      </c>
      <c r="N8">
        <f t="shared" si="7"/>
        <v>0</v>
      </c>
      <c r="O8">
        <f t="shared" si="8"/>
        <v>0</v>
      </c>
      <c r="Q8">
        <f>B8*1</f>
        <v>0.54</v>
      </c>
      <c r="R8">
        <f t="shared" si="10"/>
        <v>0</v>
      </c>
      <c r="S8">
        <f t="shared" si="11"/>
        <v>0</v>
      </c>
      <c r="T8">
        <f t="shared" si="12"/>
        <v>0</v>
      </c>
      <c r="U8">
        <f t="shared" si="13"/>
        <v>0</v>
      </c>
      <c r="V8">
        <f t="shared" si="14"/>
        <v>0</v>
      </c>
      <c r="W8">
        <f t="shared" si="15"/>
        <v>0</v>
      </c>
    </row>
    <row r="9" spans="1:23">
      <c r="A9" s="2" t="s">
        <v>54</v>
      </c>
      <c r="B9" s="7">
        <v>0.62</v>
      </c>
      <c r="C9" s="3">
        <v>0.62</v>
      </c>
      <c r="D9">
        <f t="shared" ref="D9:D14" si="17">B9*1</f>
        <v>0.62</v>
      </c>
      <c r="E9">
        <f t="shared" si="16"/>
        <v>0.62</v>
      </c>
      <c r="F9">
        <f t="shared" si="1"/>
        <v>0</v>
      </c>
      <c r="G9">
        <f>C9*1</f>
        <v>0.62</v>
      </c>
      <c r="I9">
        <f>B9*1+C9*2</f>
        <v>1.8599999999999999</v>
      </c>
      <c r="J9">
        <f>C9*0</f>
        <v>0</v>
      </c>
      <c r="K9">
        <f t="shared" si="4"/>
        <v>0</v>
      </c>
      <c r="L9">
        <f t="shared" si="5"/>
        <v>0</v>
      </c>
      <c r="M9">
        <f t="shared" si="6"/>
        <v>0</v>
      </c>
      <c r="N9">
        <f>B9*1</f>
        <v>0.62</v>
      </c>
      <c r="O9">
        <f t="shared" si="8"/>
        <v>0</v>
      </c>
      <c r="Q9">
        <f>C9*1</f>
        <v>0.62</v>
      </c>
      <c r="R9">
        <f t="shared" si="10"/>
        <v>0</v>
      </c>
      <c r="S9">
        <f>C9*1</f>
        <v>0.62</v>
      </c>
      <c r="T9">
        <f t="shared" si="12"/>
        <v>0</v>
      </c>
      <c r="U9">
        <f t="shared" si="13"/>
        <v>0</v>
      </c>
      <c r="V9">
        <f>B9*1</f>
        <v>0.62</v>
      </c>
      <c r="W9">
        <f t="shared" si="15"/>
        <v>0</v>
      </c>
    </row>
    <row r="10" spans="1:23">
      <c r="A10" s="2" t="s">
        <v>55</v>
      </c>
      <c r="B10" s="7">
        <v>0.74</v>
      </c>
      <c r="C10" s="3">
        <v>0.7</v>
      </c>
      <c r="D10">
        <f t="shared" si="17"/>
        <v>0.74</v>
      </c>
      <c r="E10">
        <f t="shared" ref="E10:E18" si="18">B10*0</f>
        <v>0</v>
      </c>
      <c r="F10">
        <f>B10*1</f>
        <v>0.74</v>
      </c>
      <c r="G10">
        <f t="shared" si="2"/>
        <v>0</v>
      </c>
      <c r="I10">
        <f t="shared" ref="I10:I11" si="19">C10*1</f>
        <v>0.7</v>
      </c>
      <c r="J10">
        <f>C10*1</f>
        <v>0.7</v>
      </c>
      <c r="K10">
        <f t="shared" si="4"/>
        <v>0</v>
      </c>
      <c r="L10">
        <f>C10*1</f>
        <v>0.7</v>
      </c>
      <c r="M10">
        <f t="shared" si="6"/>
        <v>0</v>
      </c>
      <c r="N10">
        <f t="shared" si="7"/>
        <v>0</v>
      </c>
      <c r="O10">
        <f t="shared" si="8"/>
        <v>0</v>
      </c>
      <c r="Q10">
        <f t="shared" si="9"/>
        <v>0</v>
      </c>
      <c r="R10">
        <f t="shared" si="10"/>
        <v>0</v>
      </c>
      <c r="S10">
        <f>C10*1</f>
        <v>0.7</v>
      </c>
      <c r="T10">
        <f>C10*1</f>
        <v>0.7</v>
      </c>
      <c r="U10">
        <f>C10*1</f>
        <v>0.7</v>
      </c>
      <c r="V10">
        <f t="shared" si="14"/>
        <v>0</v>
      </c>
      <c r="W10">
        <f t="shared" si="15"/>
        <v>0</v>
      </c>
    </row>
    <row r="11" spans="1:23">
      <c r="A11" s="2" t="s">
        <v>56</v>
      </c>
      <c r="B11" s="7">
        <v>0.84</v>
      </c>
      <c r="C11" s="3">
        <v>0.72</v>
      </c>
      <c r="D11">
        <f t="shared" si="17"/>
        <v>0.84</v>
      </c>
      <c r="E11">
        <f>B11*1</f>
        <v>0.84</v>
      </c>
      <c r="F11">
        <f>B11*1+C11*1</f>
        <v>1.56</v>
      </c>
      <c r="G11">
        <f>C11*1</f>
        <v>0.72</v>
      </c>
      <c r="I11">
        <f t="shared" si="19"/>
        <v>0.72</v>
      </c>
      <c r="J11">
        <f>C11*1</f>
        <v>0.72</v>
      </c>
      <c r="K11">
        <f t="shared" si="4"/>
        <v>0</v>
      </c>
      <c r="L11">
        <f t="shared" ref="L11:L12" si="20">B11*1</f>
        <v>0.84</v>
      </c>
      <c r="M11">
        <f>B11*1</f>
        <v>0.84</v>
      </c>
      <c r="N11">
        <f t="shared" si="7"/>
        <v>0</v>
      </c>
      <c r="O11">
        <f t="shared" si="8"/>
        <v>0</v>
      </c>
      <c r="Q11">
        <f>C11*1</f>
        <v>0.72</v>
      </c>
      <c r="R11">
        <f t="shared" si="10"/>
        <v>0</v>
      </c>
      <c r="S11">
        <f>B11*1</f>
        <v>0.84</v>
      </c>
      <c r="T11">
        <f t="shared" si="12"/>
        <v>0</v>
      </c>
      <c r="U11">
        <f t="shared" si="13"/>
        <v>0</v>
      </c>
      <c r="V11">
        <f t="shared" si="14"/>
        <v>0</v>
      </c>
      <c r="W11">
        <f t="shared" si="15"/>
        <v>0</v>
      </c>
    </row>
    <row r="12" spans="1:23">
      <c r="A12" s="2" t="s">
        <v>57</v>
      </c>
      <c r="B12" s="7">
        <v>0.88</v>
      </c>
      <c r="C12" s="3">
        <v>0.78</v>
      </c>
      <c r="D12">
        <f t="shared" si="17"/>
        <v>0.88</v>
      </c>
      <c r="E12">
        <f t="shared" si="18"/>
        <v>0</v>
      </c>
      <c r="F12">
        <f>B12*1</f>
        <v>0.88</v>
      </c>
      <c r="G12">
        <f>B12*1</f>
        <v>0.88</v>
      </c>
      <c r="I12">
        <f t="shared" ref="I12:I15" si="21">B12*0</f>
        <v>0</v>
      </c>
      <c r="J12">
        <f>C12*1</f>
        <v>0.78</v>
      </c>
      <c r="K12">
        <f>B12*1</f>
        <v>0.88</v>
      </c>
      <c r="L12">
        <f t="shared" si="20"/>
        <v>0.88</v>
      </c>
      <c r="M12">
        <f t="shared" si="6"/>
        <v>0</v>
      </c>
      <c r="N12">
        <f t="shared" si="7"/>
        <v>0</v>
      </c>
      <c r="O12">
        <f t="shared" si="8"/>
        <v>0</v>
      </c>
      <c r="Q12">
        <f t="shared" si="9"/>
        <v>0</v>
      </c>
      <c r="R12">
        <f t="shared" si="10"/>
        <v>0</v>
      </c>
      <c r="S12">
        <f t="shared" si="11"/>
        <v>0</v>
      </c>
      <c r="T12">
        <f>B12*1</f>
        <v>0.88</v>
      </c>
      <c r="U12">
        <f t="shared" si="13"/>
        <v>0</v>
      </c>
      <c r="V12">
        <f t="shared" si="14"/>
        <v>0</v>
      </c>
      <c r="W12">
        <f t="shared" si="15"/>
        <v>0</v>
      </c>
    </row>
    <row r="13" spans="1:23">
      <c r="A13" s="2" t="s">
        <v>58</v>
      </c>
      <c r="B13" s="7">
        <v>0.96</v>
      </c>
      <c r="C13" s="3">
        <v>0.84</v>
      </c>
      <c r="D13">
        <f t="shared" si="17"/>
        <v>0.96</v>
      </c>
      <c r="E13">
        <f t="shared" si="18"/>
        <v>0</v>
      </c>
      <c r="F13">
        <f>B13*2</f>
        <v>1.92</v>
      </c>
      <c r="G13">
        <f>C13*1</f>
        <v>0.84</v>
      </c>
      <c r="I13">
        <f t="shared" si="21"/>
        <v>0</v>
      </c>
      <c r="J13">
        <f>C13*2</f>
        <v>1.68</v>
      </c>
      <c r="K13">
        <f t="shared" si="4"/>
        <v>0</v>
      </c>
      <c r="L13">
        <f t="shared" si="5"/>
        <v>0</v>
      </c>
      <c r="M13">
        <f t="shared" si="6"/>
        <v>0</v>
      </c>
      <c r="N13">
        <f t="shared" ref="N13:N14" si="22">B13*1</f>
        <v>0.96</v>
      </c>
      <c r="O13">
        <f t="shared" si="8"/>
        <v>0</v>
      </c>
      <c r="Q13">
        <f>C13*1</f>
        <v>0.84</v>
      </c>
      <c r="R13">
        <f>B13*1</f>
        <v>0.96</v>
      </c>
      <c r="S13">
        <f t="shared" si="11"/>
        <v>0</v>
      </c>
      <c r="T13">
        <f>B13*1</f>
        <v>0.96</v>
      </c>
      <c r="U13">
        <f t="shared" si="13"/>
        <v>0</v>
      </c>
      <c r="V13">
        <f t="shared" si="14"/>
        <v>0</v>
      </c>
      <c r="W13">
        <f>B13*1</f>
        <v>0.96</v>
      </c>
    </row>
    <row r="14" spans="1:23">
      <c r="A14" s="2" t="s">
        <v>59</v>
      </c>
      <c r="B14" s="7">
        <v>1.06</v>
      </c>
      <c r="C14" s="3">
        <v>0.86</v>
      </c>
      <c r="D14">
        <f t="shared" si="17"/>
        <v>1.06</v>
      </c>
      <c r="E14">
        <f>C14*1</f>
        <v>0.86</v>
      </c>
      <c r="F14">
        <f>B14*1+C14*1</f>
        <v>1.92</v>
      </c>
      <c r="G14">
        <f t="shared" si="2"/>
        <v>0</v>
      </c>
      <c r="I14">
        <f t="shared" si="21"/>
        <v>0</v>
      </c>
      <c r="J14">
        <f>C14*2</f>
        <v>1.72</v>
      </c>
      <c r="K14">
        <f t="shared" si="4"/>
        <v>0</v>
      </c>
      <c r="L14">
        <f t="shared" si="5"/>
        <v>0</v>
      </c>
      <c r="M14">
        <f t="shared" si="6"/>
        <v>0</v>
      </c>
      <c r="N14">
        <f t="shared" si="22"/>
        <v>1.06</v>
      </c>
      <c r="O14">
        <f t="shared" si="8"/>
        <v>0</v>
      </c>
      <c r="Q14">
        <f>B14*1</f>
        <v>1.06</v>
      </c>
      <c r="R14">
        <f t="shared" si="10"/>
        <v>0</v>
      </c>
      <c r="S14">
        <f>C14*1</f>
        <v>0.86</v>
      </c>
      <c r="T14">
        <f t="shared" si="12"/>
        <v>0</v>
      </c>
      <c r="U14">
        <f>B14*1</f>
        <v>1.06</v>
      </c>
      <c r="V14">
        <f t="shared" si="14"/>
        <v>0</v>
      </c>
      <c r="W14">
        <f>B14*1</f>
        <v>1.06</v>
      </c>
    </row>
    <row r="15" spans="1:23">
      <c r="A15" s="2" t="s">
        <v>60</v>
      </c>
      <c r="B15" s="7">
        <v>1.1399999999999999</v>
      </c>
      <c r="C15" s="3">
        <v>0.86</v>
      </c>
      <c r="D15">
        <f t="shared" si="0"/>
        <v>0</v>
      </c>
      <c r="E15">
        <f>C15*1</f>
        <v>0.86</v>
      </c>
      <c r="F15">
        <f>B15*3</f>
        <v>3.42</v>
      </c>
      <c r="G15">
        <f t="shared" si="2"/>
        <v>0</v>
      </c>
      <c r="I15">
        <f t="shared" si="21"/>
        <v>0</v>
      </c>
      <c r="J15">
        <f>C15*1</f>
        <v>0.86</v>
      </c>
      <c r="K15">
        <f t="shared" si="4"/>
        <v>0</v>
      </c>
      <c r="L15">
        <f t="shared" si="5"/>
        <v>0</v>
      </c>
      <c r="M15">
        <f>C15*1</f>
        <v>0.86</v>
      </c>
      <c r="N15">
        <f>B15*1</f>
        <v>1.1399999999999999</v>
      </c>
      <c r="O15">
        <f>B15*1</f>
        <v>1.1399999999999999</v>
      </c>
      <c r="Q15">
        <f>C15*1</f>
        <v>0.86</v>
      </c>
      <c r="R15">
        <f t="shared" si="10"/>
        <v>0</v>
      </c>
      <c r="S15">
        <f>C15*1</f>
        <v>0.86</v>
      </c>
      <c r="T15">
        <f t="shared" si="12"/>
        <v>0</v>
      </c>
      <c r="U15">
        <f t="shared" si="13"/>
        <v>0</v>
      </c>
      <c r="V15">
        <f t="shared" si="14"/>
        <v>0</v>
      </c>
      <c r="W15">
        <f>B15*1</f>
        <v>1.1399999999999999</v>
      </c>
    </row>
    <row r="16" spans="1:23">
      <c r="A16" s="2" t="s">
        <v>61</v>
      </c>
      <c r="B16" s="7">
        <v>1.04</v>
      </c>
      <c r="C16" s="3">
        <v>0.8</v>
      </c>
      <c r="D16">
        <f>C16*2</f>
        <v>1.6</v>
      </c>
      <c r="E16">
        <f t="shared" si="18"/>
        <v>0</v>
      </c>
      <c r="F16">
        <f>B16*2</f>
        <v>2.08</v>
      </c>
      <c r="G16">
        <f t="shared" si="2"/>
        <v>0</v>
      </c>
      <c r="I16">
        <f>C16*1</f>
        <v>0.8</v>
      </c>
      <c r="J16">
        <f>(B16*2)+(C16*1)</f>
        <v>2.88</v>
      </c>
      <c r="K16">
        <f>C16*1</f>
        <v>0.8</v>
      </c>
      <c r="L16">
        <f>C16*0</f>
        <v>0</v>
      </c>
      <c r="M16">
        <f>B16*3</f>
        <v>3.12</v>
      </c>
      <c r="N16">
        <f t="shared" si="7"/>
        <v>0</v>
      </c>
      <c r="O16">
        <f>B16*2+C16*1</f>
        <v>2.88</v>
      </c>
      <c r="Q16">
        <f>B16*1</f>
        <v>1.04</v>
      </c>
      <c r="R16">
        <f t="shared" si="10"/>
        <v>0</v>
      </c>
      <c r="S16">
        <f>C16*1</f>
        <v>0.8</v>
      </c>
      <c r="T16">
        <f>B16*1</f>
        <v>1.04</v>
      </c>
      <c r="U16">
        <f>B16*1+C16*1</f>
        <v>1.84</v>
      </c>
      <c r="V16">
        <f t="shared" si="14"/>
        <v>0</v>
      </c>
      <c r="W16">
        <f>B16*2+C16*1</f>
        <v>2.88</v>
      </c>
    </row>
    <row r="17" spans="1:23">
      <c r="A17" s="2" t="s">
        <v>62</v>
      </c>
      <c r="B17" s="7">
        <v>1</v>
      </c>
      <c r="C17" s="3">
        <v>0.82</v>
      </c>
      <c r="D17">
        <f>B17*1+C17*1</f>
        <v>1.8199999999999998</v>
      </c>
      <c r="E17">
        <f>B17*1+C17*1</f>
        <v>1.8199999999999998</v>
      </c>
      <c r="F17">
        <f>B17*1+C17*2</f>
        <v>2.6399999999999997</v>
      </c>
      <c r="G17">
        <f>C17*1</f>
        <v>0.82</v>
      </c>
      <c r="I17">
        <f>C17*1</f>
        <v>0.82</v>
      </c>
      <c r="J17">
        <f>B17*1+C17*1</f>
        <v>1.8199999999999998</v>
      </c>
      <c r="K17">
        <f>C17*1</f>
        <v>0.82</v>
      </c>
      <c r="L17">
        <f>C17*1</f>
        <v>0.82</v>
      </c>
      <c r="M17">
        <f>B17*1+C17*1</f>
        <v>1.8199999999999998</v>
      </c>
      <c r="N17">
        <f>B17*1+C17*1</f>
        <v>1.8199999999999998</v>
      </c>
      <c r="O17">
        <f>B17*1+C17*1</f>
        <v>1.8199999999999998</v>
      </c>
      <c r="Q17">
        <f>B17*1+C17*1</f>
        <v>1.8199999999999998</v>
      </c>
      <c r="R17">
        <f t="shared" si="10"/>
        <v>0</v>
      </c>
      <c r="S17">
        <f>C17*1</f>
        <v>0.82</v>
      </c>
      <c r="T17">
        <f>B17*1+C17*1</f>
        <v>1.8199999999999998</v>
      </c>
      <c r="U17">
        <f>B17*1</f>
        <v>1</v>
      </c>
      <c r="V17">
        <f t="shared" si="14"/>
        <v>0</v>
      </c>
      <c r="W17">
        <f>B17*1+C17*2</f>
        <v>2.6399999999999997</v>
      </c>
    </row>
    <row r="18" spans="1:23" ht="15.75" thickBot="1">
      <c r="A18" s="4" t="s">
        <v>63</v>
      </c>
      <c r="B18" s="8">
        <v>0.84</v>
      </c>
      <c r="C18" s="5">
        <v>0.74</v>
      </c>
      <c r="D18">
        <f t="shared" si="0"/>
        <v>0</v>
      </c>
      <c r="E18">
        <f t="shared" si="18"/>
        <v>0</v>
      </c>
      <c r="F18">
        <f t="shared" si="1"/>
        <v>0</v>
      </c>
      <c r="G18">
        <f>B18*1</f>
        <v>0.84</v>
      </c>
      <c r="I18">
        <f>B18*1</f>
        <v>0.84</v>
      </c>
      <c r="J18">
        <f t="shared" si="3"/>
        <v>0</v>
      </c>
      <c r="K18">
        <f>B18*1</f>
        <v>0.84</v>
      </c>
      <c r="L18">
        <f>B18*1</f>
        <v>0.84</v>
      </c>
      <c r="M18">
        <f t="shared" si="6"/>
        <v>0</v>
      </c>
      <c r="N18">
        <f t="shared" si="7"/>
        <v>0</v>
      </c>
      <c r="O18">
        <f t="shared" si="8"/>
        <v>0</v>
      </c>
      <c r="Q18">
        <f t="shared" si="9"/>
        <v>0</v>
      </c>
      <c r="R18">
        <f>B18*1</f>
        <v>0.84</v>
      </c>
      <c r="S18">
        <f>B18*1+C18*1</f>
        <v>1.58</v>
      </c>
      <c r="T18">
        <f>C18*1</f>
        <v>0.74</v>
      </c>
      <c r="U18">
        <f>B18*1+C18*1</f>
        <v>1.58</v>
      </c>
      <c r="V18">
        <f>B18*1</f>
        <v>0.84</v>
      </c>
      <c r="W18">
        <f t="shared" si="15"/>
        <v>0</v>
      </c>
    </row>
    <row r="19" spans="1:23" ht="15.75" thickBot="1">
      <c r="E19" s="23"/>
      <c r="F19" s="23"/>
      <c r="G19" s="23"/>
    </row>
    <row r="20" spans="1:23" ht="15.75" thickBot="1">
      <c r="C20" s="31" t="s">
        <v>64</v>
      </c>
      <c r="D20" s="32">
        <f t="shared" ref="D20:I20" si="23">SUM(D6:D19)</f>
        <v>8.52</v>
      </c>
      <c r="E20" s="32">
        <f t="shared" si="23"/>
        <v>6</v>
      </c>
      <c r="F20" s="32">
        <f t="shared" si="23"/>
        <v>15.16</v>
      </c>
      <c r="G20" s="32">
        <f t="shared" si="23"/>
        <v>4.72</v>
      </c>
      <c r="H20" s="32"/>
      <c r="I20" s="32">
        <f t="shared" si="23"/>
        <v>7.2799999999999994</v>
      </c>
      <c r="J20" s="32">
        <f>SUM(J6:J19)</f>
        <v>11.16</v>
      </c>
      <c r="K20" s="32">
        <f t="shared" ref="K20" si="24">SUM(K6:K19)</f>
        <v>3.34</v>
      </c>
      <c r="L20" s="32">
        <f t="shared" ref="L20" si="25">SUM(L6:L19)</f>
        <v>4.08</v>
      </c>
      <c r="M20" s="32">
        <f t="shared" ref="M20" si="26">SUM(M6:M19)</f>
        <v>6.6400000000000006</v>
      </c>
      <c r="N20" s="32">
        <f t="shared" ref="N20" si="27">SUM(N6:N19)</f>
        <v>5.6</v>
      </c>
      <c r="O20" s="32">
        <f t="shared" ref="O20" si="28">SUM(O6:O19)</f>
        <v>5.84</v>
      </c>
      <c r="P20" s="32"/>
      <c r="Q20" s="32">
        <f t="shared" ref="Q20" si="29">SUM(Q6:Q19)</f>
        <v>7.5</v>
      </c>
      <c r="R20" s="32">
        <f t="shared" ref="R20" si="30">SUM(R6:R19)</f>
        <v>1.7999999999999998</v>
      </c>
      <c r="S20" s="32">
        <f t="shared" ref="S20" si="31">SUM(S6:S19)</f>
        <v>7.08</v>
      </c>
      <c r="T20" s="32">
        <f t="shared" ref="T20" si="32">SUM(T6:T19)</f>
        <v>6.4700000000000006</v>
      </c>
      <c r="U20" s="32">
        <f t="shared" ref="U20" si="33">SUM(U6:U19)</f>
        <v>6.51</v>
      </c>
      <c r="V20" s="32">
        <f t="shared" ref="V20" si="34">SUM(V6:V19)</f>
        <v>1.46</v>
      </c>
      <c r="W20" s="18">
        <f t="shared" ref="W20" si="35">SUM(W6:W19)</f>
        <v>9.01</v>
      </c>
    </row>
    <row r="21" spans="1:23">
      <c r="E21" s="26"/>
      <c r="F21" s="23"/>
      <c r="G21" s="23"/>
    </row>
    <row r="22" spans="1:23">
      <c r="E22" s="23"/>
      <c r="F22" s="23"/>
      <c r="G22" s="23"/>
    </row>
    <row r="23" spans="1:23">
      <c r="E23" s="23"/>
      <c r="F23" s="23"/>
      <c r="G23" s="23"/>
    </row>
    <row r="24" spans="1:23">
      <c r="E24" s="23"/>
      <c r="F24" s="23"/>
      <c r="G24" s="23"/>
    </row>
    <row r="25" spans="1:23">
      <c r="E25" s="23"/>
      <c r="F25" s="23"/>
      <c r="G25" s="23"/>
    </row>
    <row r="26" spans="1:23" ht="15.75" thickBot="1">
      <c r="E26" s="23"/>
      <c r="F26" s="23"/>
      <c r="G26" s="23"/>
    </row>
    <row r="27" spans="1:23" ht="15.75" thickBot="1">
      <c r="E27" s="23"/>
      <c r="F27" s="23"/>
      <c r="G27" s="23"/>
      <c r="I27" s="156" t="s">
        <v>70</v>
      </c>
      <c r="J27" s="157"/>
      <c r="K27" s="157"/>
      <c r="L27" s="158"/>
      <c r="M27" s="12">
        <f>(SUM(D20:W20))/18</f>
        <v>6.5650000000000004</v>
      </c>
    </row>
    <row r="28" spans="1:23" ht="15.75" thickBot="1">
      <c r="E28" s="23"/>
      <c r="F28" s="23"/>
      <c r="G28" s="23"/>
    </row>
    <row r="29" spans="1:23" ht="15.75" thickBot="1">
      <c r="E29" s="23"/>
      <c r="F29" s="23"/>
      <c r="G29" s="23"/>
      <c r="I29" s="16" t="s">
        <v>71</v>
      </c>
      <c r="J29" s="17"/>
      <c r="K29" s="17"/>
      <c r="L29" s="28"/>
      <c r="M29" s="14">
        <f>(SUM(D20:G20))/4</f>
        <v>8.6</v>
      </c>
    </row>
    <row r="30" spans="1:23" ht="15.75" thickBot="1">
      <c r="E30" s="23"/>
      <c r="F30" s="23"/>
      <c r="G30" s="23"/>
      <c r="I30" s="156" t="s">
        <v>73</v>
      </c>
      <c r="J30" s="157"/>
      <c r="K30" s="157"/>
      <c r="L30" s="158"/>
      <c r="M30" s="12">
        <f>(SUM(I20:O20))/7</f>
        <v>6.2771428571428567</v>
      </c>
    </row>
    <row r="31" spans="1:23" ht="15.75" thickBot="1">
      <c r="E31" s="23"/>
      <c r="F31" s="23"/>
      <c r="G31" s="23"/>
      <c r="I31" s="156" t="s">
        <v>72</v>
      </c>
      <c r="J31" s="157"/>
      <c r="K31" s="157"/>
      <c r="L31" s="158"/>
      <c r="M31" s="34">
        <f>(SUM(Q20:W20))/7</f>
        <v>5.6899999999999995</v>
      </c>
    </row>
    <row r="32" spans="1:23" ht="15.75" thickBot="1">
      <c r="E32" s="23"/>
      <c r="F32" s="23"/>
      <c r="G32" s="23"/>
      <c r="I32" s="56"/>
      <c r="J32" s="56" t="s">
        <v>319</v>
      </c>
      <c r="K32" s="55"/>
      <c r="L32" s="55"/>
      <c r="M32" s="44"/>
    </row>
    <row r="33" spans="8:19">
      <c r="H33" s="1" t="s">
        <v>316</v>
      </c>
      <c r="I33" s="36">
        <f>STDEV(D20:W20)</f>
        <v>3.2265320118556722</v>
      </c>
      <c r="J33" s="35">
        <f>I33/M27</f>
        <v>0.49147479236186931</v>
      </c>
    </row>
    <row r="34" spans="8:19">
      <c r="H34" s="2" t="s">
        <v>315</v>
      </c>
      <c r="I34" s="23">
        <f>STDEV(D20:G20)</f>
        <v>4.6495304422418116</v>
      </c>
      <c r="J34" s="3">
        <f>I34/M29</f>
        <v>0.54064307467928041</v>
      </c>
    </row>
    <row r="35" spans="8:19">
      <c r="H35" s="2" t="s">
        <v>317</v>
      </c>
      <c r="I35" s="23">
        <f>STDEV(I20:O20)</f>
        <v>2.552238979704645</v>
      </c>
      <c r="J35" s="3">
        <f t="shared" ref="J35:J36" si="36">I35/M30</f>
        <v>0.40659246376723979</v>
      </c>
    </row>
    <row r="36" spans="8:19" ht="15.75" thickBot="1">
      <c r="H36" s="4" t="s">
        <v>318</v>
      </c>
      <c r="I36" s="24">
        <f>STDEV(Q20:W20)</f>
        <v>2.9021945719288604</v>
      </c>
      <c r="J36" s="5">
        <f t="shared" si="36"/>
        <v>0.51005177011052039</v>
      </c>
    </row>
    <row r="37" spans="8:19" ht="15.75" thickBot="1">
      <c r="L37" s="156" t="s">
        <v>326</v>
      </c>
      <c r="M37" s="158"/>
      <c r="O37" s="156" t="s">
        <v>327</v>
      </c>
      <c r="P37" s="158"/>
      <c r="R37" s="156" t="s">
        <v>328</v>
      </c>
      <c r="S37" s="158"/>
    </row>
    <row r="38" spans="8:19" ht="15.75" thickBot="1">
      <c r="H38" t="s">
        <v>320</v>
      </c>
      <c r="I38">
        <f>VAR(D20:W20)</f>
        <v>10.410508823529412</v>
      </c>
      <c r="K38" t="s">
        <v>324</v>
      </c>
      <c r="L38" s="16" t="s">
        <v>71</v>
      </c>
      <c r="M38" s="14">
        <v>8.6</v>
      </c>
      <c r="O38" s="16" t="s">
        <v>330</v>
      </c>
      <c r="P38" s="14">
        <v>6.2771428599999997</v>
      </c>
      <c r="R38" s="16" t="s">
        <v>330</v>
      </c>
      <c r="S38" s="14">
        <v>5.69</v>
      </c>
    </row>
    <row r="39" spans="8:19">
      <c r="H39" t="s">
        <v>321</v>
      </c>
      <c r="I39">
        <f>VAR(D20:G20)</f>
        <v>21.618133333333333</v>
      </c>
      <c r="J39" s="50"/>
      <c r="L39" s="2" t="s">
        <v>321</v>
      </c>
      <c r="M39" s="3">
        <v>21.618133</v>
      </c>
      <c r="O39" s="2" t="s">
        <v>329</v>
      </c>
      <c r="P39">
        <v>6.5139238095238072</v>
      </c>
      <c r="R39" s="2" t="s">
        <v>329</v>
      </c>
      <c r="S39">
        <v>8.4227333333333405</v>
      </c>
    </row>
    <row r="40" spans="8:19" ht="15.75" thickBot="1">
      <c r="H40" t="s">
        <v>322</v>
      </c>
      <c r="I40">
        <f>VAR(I20:O20)</f>
        <v>6.5139238095238072</v>
      </c>
      <c r="L40" s="4" t="s">
        <v>325</v>
      </c>
      <c r="M40" s="5">
        <v>4</v>
      </c>
      <c r="O40" s="4" t="s">
        <v>325</v>
      </c>
      <c r="P40" s="5">
        <v>7</v>
      </c>
      <c r="R40" s="4" t="s">
        <v>325</v>
      </c>
      <c r="S40" s="5">
        <v>7</v>
      </c>
    </row>
    <row r="41" spans="8:19">
      <c r="H41" t="s">
        <v>323</v>
      </c>
      <c r="I41">
        <f>VAR(P20:W20)</f>
        <v>8.4227333333333405</v>
      </c>
      <c r="L41" s="2" t="s">
        <v>315</v>
      </c>
      <c r="M41" s="23">
        <v>4.6495304422418116</v>
      </c>
      <c r="O41" t="s">
        <v>317</v>
      </c>
      <c r="P41">
        <v>2.552238979704645</v>
      </c>
      <c r="R41" t="s">
        <v>318</v>
      </c>
      <c r="S41">
        <v>2.9021945719288604</v>
      </c>
    </row>
    <row r="43" spans="8:19">
      <c r="L43" t="s">
        <v>338</v>
      </c>
      <c r="M43" t="s">
        <v>339</v>
      </c>
    </row>
    <row r="44" spans="8:19">
      <c r="L44" t="s">
        <v>168</v>
      </c>
      <c r="M44" t="s">
        <v>340</v>
      </c>
    </row>
    <row r="45" spans="8:19" ht="15.75" thickBot="1"/>
    <row r="46" spans="8:19" ht="15.75" thickBot="1">
      <c r="M46" s="156" t="s">
        <v>336</v>
      </c>
      <c r="N46" s="158"/>
      <c r="P46" s="156" t="s">
        <v>337</v>
      </c>
      <c r="Q46" s="158"/>
    </row>
    <row r="47" spans="8:19" ht="15.75" thickBot="1">
      <c r="M47" s="31" t="s">
        <v>332</v>
      </c>
      <c r="N47" s="18">
        <f>SQRT(((M40-1)*M39+ (M40-1)*P39)/(M40+S40-2))</f>
        <v>3.0622462784435331</v>
      </c>
      <c r="P47" s="12" t="s">
        <v>332</v>
      </c>
      <c r="Q47">
        <f>SQRT(((M40-1)*M39+ (M40-1)*S39)/(P40+S40-2))</f>
        <v>2.7404774371144409</v>
      </c>
    </row>
    <row r="48" spans="8:19" ht="15.75" thickBot="1">
      <c r="L48" s="15"/>
      <c r="M48" s="58" t="s">
        <v>333</v>
      </c>
      <c r="N48" s="57">
        <f>N50/(N47*N49)</f>
        <v>1.2102220412502791</v>
      </c>
      <c r="P48" s="59" t="s">
        <v>333</v>
      </c>
      <c r="Q48" s="57">
        <f>Q50/(Q47*Q49)</f>
        <v>1.6941405253291164</v>
      </c>
    </row>
    <row r="49" spans="10:17">
      <c r="M49" s="37" t="s">
        <v>334</v>
      </c>
      <c r="N49">
        <f>SQRT(1/4+1/7)</f>
        <v>0.62678317052800869</v>
      </c>
      <c r="P49" s="21" t="s">
        <v>334</v>
      </c>
      <c r="Q49">
        <f>SQRT(1/4+1/7)</f>
        <v>0.62678317052800869</v>
      </c>
    </row>
    <row r="50" spans="10:17" ht="15.75" thickBot="1">
      <c r="M50" t="s">
        <v>331</v>
      </c>
      <c r="N50">
        <f>M38-P38</f>
        <v>2.32285714</v>
      </c>
      <c r="P50" s="8" t="s">
        <v>331</v>
      </c>
      <c r="Q50">
        <f>M38-S38</f>
        <v>2.9099999999999993</v>
      </c>
    </row>
    <row r="51" spans="10:17" ht="15.75" thickBot="1"/>
    <row r="52" spans="10:17" ht="15.75" thickBot="1">
      <c r="M52" s="58" t="s">
        <v>335</v>
      </c>
      <c r="N52" s="18">
        <f>TDIST(N48,9,2)</f>
        <v>0.25701833191245838</v>
      </c>
      <c r="P52" s="58" t="s">
        <v>335</v>
      </c>
      <c r="Q52" s="18">
        <f>TDIST(Q48,9,2)</f>
        <v>0.12448236420792573</v>
      </c>
    </row>
    <row r="60" spans="10:17" ht="15.75" thickBot="1"/>
    <row r="61" spans="10:17" ht="15.75" thickBot="1">
      <c r="K61" s="62" t="s">
        <v>352</v>
      </c>
      <c r="L61" s="61"/>
    </row>
    <row r="62" spans="10:17" ht="15.75" thickBot="1">
      <c r="J62" s="58" t="s">
        <v>355</v>
      </c>
      <c r="K62" s="61">
        <f>SUM(O66:Q72)</f>
        <v>175.51617499999998</v>
      </c>
    </row>
    <row r="63" spans="10:17" ht="15.75" thickBot="1">
      <c r="J63" t="s">
        <v>354</v>
      </c>
      <c r="L63">
        <f>M27</f>
        <v>6.5650000000000004</v>
      </c>
    </row>
    <row r="64" spans="10:17" ht="15.75" thickBot="1">
      <c r="J64" s="160" t="s">
        <v>356</v>
      </c>
      <c r="K64" s="161"/>
      <c r="L64" s="161"/>
      <c r="M64" s="162"/>
      <c r="O64" s="160" t="s">
        <v>357</v>
      </c>
      <c r="P64" s="161"/>
      <c r="Q64" s="162"/>
    </row>
    <row r="65" spans="10:19" ht="15.75" thickBot="1">
      <c r="J65" s="1"/>
      <c r="K65" s="10" t="s">
        <v>17</v>
      </c>
      <c r="L65" s="10" t="s">
        <v>327</v>
      </c>
      <c r="M65" s="20" t="s">
        <v>328</v>
      </c>
      <c r="O65" s="10" t="s">
        <v>17</v>
      </c>
      <c r="P65" s="10" t="s">
        <v>327</v>
      </c>
      <c r="Q65" s="20" t="s">
        <v>328</v>
      </c>
    </row>
    <row r="66" spans="10:19">
      <c r="J66" s="2" t="s">
        <v>371</v>
      </c>
      <c r="K66" s="7">
        <f>D20-L63</f>
        <v>1.9549999999999992</v>
      </c>
      <c r="L66" s="7">
        <f>I20-L63</f>
        <v>0.71499999999999897</v>
      </c>
      <c r="M66" s="3">
        <f>Q20-L63</f>
        <v>0.93499999999999961</v>
      </c>
      <c r="O66">
        <f>K66*K66</f>
        <v>3.8220249999999969</v>
      </c>
      <c r="P66">
        <f t="shared" ref="P66:Q72" si="37">L66*L66</f>
        <v>0.51122499999999849</v>
      </c>
      <c r="Q66">
        <f t="shared" si="37"/>
        <v>0.87422499999999925</v>
      </c>
    </row>
    <row r="67" spans="10:19">
      <c r="J67" s="2" t="s">
        <v>371</v>
      </c>
      <c r="K67" s="7">
        <f>E20-L63</f>
        <v>-0.56500000000000039</v>
      </c>
      <c r="L67" s="7">
        <f>J20-L63</f>
        <v>4.5949999999999998</v>
      </c>
      <c r="M67" s="3">
        <f>R20-L63</f>
        <v>-4.7650000000000006</v>
      </c>
      <c r="O67">
        <f t="shared" ref="O67:O69" si="38">K67*K67</f>
        <v>0.31922500000000043</v>
      </c>
      <c r="P67">
        <f t="shared" si="37"/>
        <v>21.114024999999998</v>
      </c>
      <c r="Q67">
        <f t="shared" si="37"/>
        <v>22.705225000000006</v>
      </c>
    </row>
    <row r="68" spans="10:19">
      <c r="J68" s="2" t="s">
        <v>371</v>
      </c>
      <c r="K68" s="7">
        <f>F20-L63</f>
        <v>8.5949999999999989</v>
      </c>
      <c r="L68" s="7">
        <f>K20-L63</f>
        <v>-3.2250000000000005</v>
      </c>
      <c r="M68" s="3">
        <f>S20-L63</f>
        <v>0.51499999999999968</v>
      </c>
      <c r="O68">
        <f t="shared" si="38"/>
        <v>73.874024999999975</v>
      </c>
      <c r="P68">
        <f t="shared" si="37"/>
        <v>10.400625000000003</v>
      </c>
      <c r="Q68">
        <f t="shared" si="37"/>
        <v>0.26522499999999966</v>
      </c>
    </row>
    <row r="69" spans="10:19">
      <c r="J69" s="2" t="s">
        <v>371</v>
      </c>
      <c r="K69" s="7">
        <f>G20-L63</f>
        <v>-1.8450000000000006</v>
      </c>
      <c r="L69" s="7">
        <f>L20-L63</f>
        <v>-2.4850000000000003</v>
      </c>
      <c r="M69" s="3">
        <f>T20-L63</f>
        <v>-9.4999999999999751E-2</v>
      </c>
      <c r="O69">
        <f t="shared" si="38"/>
        <v>3.4040250000000025</v>
      </c>
      <c r="P69">
        <f t="shared" si="37"/>
        <v>6.175225000000002</v>
      </c>
      <c r="Q69">
        <f t="shared" si="37"/>
        <v>9.0249999999999532E-3</v>
      </c>
    </row>
    <row r="70" spans="10:19">
      <c r="J70" s="2" t="s">
        <v>371</v>
      </c>
      <c r="K70" s="7"/>
      <c r="L70" s="7">
        <f>M20-L63</f>
        <v>7.5000000000000178E-2</v>
      </c>
      <c r="M70" s="3">
        <f>U20-L63</f>
        <v>-5.5000000000000604E-2</v>
      </c>
      <c r="Q70">
        <f t="shared" si="37"/>
        <v>3.0250000000000663E-3</v>
      </c>
    </row>
    <row r="71" spans="10:19">
      <c r="J71" s="2" t="s">
        <v>371</v>
      </c>
      <c r="K71" s="7"/>
      <c r="L71" s="7">
        <f>N20-L63</f>
        <v>-0.96500000000000075</v>
      </c>
      <c r="M71" s="3">
        <f>V20-L63</f>
        <v>-5.1050000000000004</v>
      </c>
      <c r="Q71">
        <f t="shared" si="37"/>
        <v>26.061025000000004</v>
      </c>
    </row>
    <row r="72" spans="10:19" ht="15.75" thickBot="1">
      <c r="J72" s="2" t="s">
        <v>371</v>
      </c>
      <c r="K72" s="8"/>
      <c r="L72" s="7">
        <f>O20-L63</f>
        <v>-0.72500000000000053</v>
      </c>
      <c r="M72" s="3">
        <f>W20-L63</f>
        <v>2.4449999999999994</v>
      </c>
      <c r="Q72">
        <f t="shared" si="37"/>
        <v>5.978024999999997</v>
      </c>
    </row>
    <row r="73" spans="10:19" ht="15.75" thickBot="1"/>
    <row r="74" spans="10:19" ht="15.75" thickBot="1">
      <c r="J74" s="58" t="s">
        <v>358</v>
      </c>
      <c r="K74" s="61">
        <f>K79+L79+M79</f>
        <v>22.504307142857144</v>
      </c>
    </row>
    <row r="75" spans="10:19" ht="15.75" thickBot="1">
      <c r="J75" s="63"/>
      <c r="K75" s="65" t="s">
        <v>17</v>
      </c>
      <c r="L75" s="66" t="s">
        <v>327</v>
      </c>
      <c r="M75" s="65" t="s">
        <v>328</v>
      </c>
      <c r="N75" s="64"/>
      <c r="O75" s="37"/>
      <c r="P75" s="163"/>
      <c r="Q75" s="163"/>
    </row>
    <row r="76" spans="10:19" ht="15.75" thickBot="1">
      <c r="J76" s="63" t="s">
        <v>372</v>
      </c>
      <c r="K76" s="15">
        <f>M29</f>
        <v>8.6</v>
      </c>
      <c r="L76" s="15">
        <f>M30</f>
        <v>6.2771428571428567</v>
      </c>
      <c r="M76" s="22">
        <f>M31</f>
        <v>5.6899999999999995</v>
      </c>
      <c r="N76" s="37"/>
      <c r="O76" s="37"/>
      <c r="P76" s="64"/>
      <c r="Q76" s="37"/>
    </row>
    <row r="77" spans="10:19" ht="15.75" thickBot="1">
      <c r="J77" s="64" t="s">
        <v>359</v>
      </c>
      <c r="K77">
        <f>K76-L63</f>
        <v>2.0349999999999993</v>
      </c>
      <c r="L77">
        <f>L76-L63</f>
        <v>-0.2878571428571437</v>
      </c>
      <c r="M77">
        <f>M76-L63</f>
        <v>-0.87500000000000089</v>
      </c>
      <c r="Q77" s="156" t="s">
        <v>379</v>
      </c>
      <c r="R77" s="157"/>
      <c r="S77" s="158"/>
    </row>
    <row r="78" spans="10:19" ht="15.75" thickBot="1">
      <c r="J78" s="64" t="s">
        <v>360</v>
      </c>
      <c r="K78">
        <f>K77*K77</f>
        <v>4.1412249999999968</v>
      </c>
      <c r="L78">
        <f t="shared" ref="L78:M78" si="39">L77*L77</f>
        <v>8.2861734693878031E-2</v>
      </c>
      <c r="M78">
        <f t="shared" si="39"/>
        <v>0.76562500000000155</v>
      </c>
      <c r="P78" s="12" t="s">
        <v>383</v>
      </c>
      <c r="Q78" s="19" t="s">
        <v>380</v>
      </c>
      <c r="R78" s="10" t="s">
        <v>381</v>
      </c>
      <c r="S78" s="20" t="s">
        <v>382</v>
      </c>
    </row>
    <row r="79" spans="10:19" ht="15.75" thickBot="1">
      <c r="J79" s="64" t="s">
        <v>361</v>
      </c>
      <c r="K79">
        <f>K78*4</f>
        <v>16.564899999999987</v>
      </c>
      <c r="L79">
        <f>L78*7</f>
        <v>0.58003214285714622</v>
      </c>
      <c r="M79">
        <f>M78*7</f>
        <v>5.3593750000000107</v>
      </c>
      <c r="P79" s="49" t="s">
        <v>384</v>
      </c>
      <c r="Q79" s="68">
        <v>8.6</v>
      </c>
      <c r="R79" s="49">
        <v>6.2771428571428567</v>
      </c>
      <c r="S79" s="49">
        <v>5.6899999999999995</v>
      </c>
    </row>
    <row r="80" spans="10:19" ht="15.75" thickBot="1">
      <c r="P80" s="15" t="s">
        <v>385</v>
      </c>
      <c r="Q80" s="19">
        <v>4.6495304422418116</v>
      </c>
      <c r="R80" s="10">
        <v>2.552238979704645</v>
      </c>
      <c r="S80" s="20">
        <v>2.9021945719288604</v>
      </c>
    </row>
    <row r="81" spans="10:19" ht="15.75" thickBot="1">
      <c r="J81" s="31" t="s">
        <v>362</v>
      </c>
      <c r="K81" s="32"/>
      <c r="L81" s="32"/>
      <c r="M81" s="32"/>
      <c r="N81" s="18"/>
      <c r="P81" s="15" t="s">
        <v>387</v>
      </c>
      <c r="Q81" s="154">
        <v>1.1030667485806367</v>
      </c>
      <c r="R81" s="154"/>
      <c r="S81" s="155"/>
    </row>
    <row r="82" spans="10:19" ht="15.75" thickBot="1">
      <c r="J82" s="2" t="s">
        <v>363</v>
      </c>
      <c r="K82" s="23" t="s">
        <v>364</v>
      </c>
      <c r="L82" s="23" t="s">
        <v>365</v>
      </c>
      <c r="M82" s="23" t="s">
        <v>366</v>
      </c>
      <c r="N82" s="3" t="s">
        <v>367</v>
      </c>
      <c r="P82" s="22" t="s">
        <v>386</v>
      </c>
      <c r="Q82" s="154">
        <v>0.35732202111256428</v>
      </c>
      <c r="R82" s="154"/>
      <c r="S82" s="155"/>
    </row>
    <row r="83" spans="10:19">
      <c r="J83" s="2" t="s">
        <v>368</v>
      </c>
      <c r="K83" s="23">
        <f>K74</f>
        <v>22.504307142857144</v>
      </c>
      <c r="L83" s="23">
        <v>2</v>
      </c>
      <c r="M83" s="23">
        <f>K83/L83</f>
        <v>11.252153571428572</v>
      </c>
      <c r="N83" s="3">
        <f>M83/M84</f>
        <v>1.1030667485806367</v>
      </c>
    </row>
    <row r="84" spans="10:19">
      <c r="J84" s="2" t="s">
        <v>369</v>
      </c>
      <c r="K84" s="23">
        <f>K86-K83</f>
        <v>153.01186785714282</v>
      </c>
      <c r="L84" s="23">
        <v>15</v>
      </c>
      <c r="M84" s="23">
        <f>K84/L84</f>
        <v>10.200791190476188</v>
      </c>
      <c r="N84" s="3"/>
    </row>
    <row r="85" spans="10:19">
      <c r="J85" s="2"/>
      <c r="K85" s="23"/>
      <c r="L85" s="23"/>
      <c r="M85" s="23"/>
      <c r="N85" s="3"/>
    </row>
    <row r="86" spans="10:19" ht="15.75" thickBot="1">
      <c r="J86" s="4" t="s">
        <v>78</v>
      </c>
      <c r="K86" s="24">
        <f>K62</f>
        <v>175.51617499999998</v>
      </c>
      <c r="L86" s="24">
        <v>17</v>
      </c>
      <c r="M86" s="24"/>
      <c r="N86" s="67">
        <f>FDIST(N83,L83,L84)</f>
        <v>0.35732202111256428</v>
      </c>
    </row>
  </sheetData>
  <mergeCells count="18">
    <mergeCell ref="L37:M37"/>
    <mergeCell ref="O37:P37"/>
    <mergeCell ref="R37:S37"/>
    <mergeCell ref="M46:N46"/>
    <mergeCell ref="P46:Q46"/>
    <mergeCell ref="Q3:W3"/>
    <mergeCell ref="A4:C4"/>
    <mergeCell ref="I27:L27"/>
    <mergeCell ref="I31:L31"/>
    <mergeCell ref="I30:L30"/>
    <mergeCell ref="D3:G3"/>
    <mergeCell ref="I3:O3"/>
    <mergeCell ref="Q77:S77"/>
    <mergeCell ref="Q81:S81"/>
    <mergeCell ref="Q82:S82"/>
    <mergeCell ref="J64:M64"/>
    <mergeCell ref="O64:Q64"/>
    <mergeCell ref="P75:Q75"/>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C2:AA64"/>
  <sheetViews>
    <sheetView workbookViewId="0">
      <selection activeCell="D5" sqref="D5:W6"/>
    </sheetView>
  </sheetViews>
  <sheetFormatPr baseColWidth="10" defaultRowHeight="15"/>
  <sheetData>
    <row r="2" spans="3:27" ht="15.75" thickBot="1"/>
    <row r="3" spans="3:27" ht="15.75" thickBot="1">
      <c r="D3" s="156" t="s">
        <v>20</v>
      </c>
      <c r="E3" s="157"/>
      <c r="F3" s="157"/>
      <c r="G3" s="158"/>
      <c r="I3" s="156" t="s">
        <v>28</v>
      </c>
      <c r="J3" s="157"/>
      <c r="K3" s="157"/>
      <c r="L3" s="157"/>
      <c r="M3" s="157"/>
      <c r="N3" s="157"/>
      <c r="O3" s="158"/>
      <c r="Q3" s="156" t="s">
        <v>29</v>
      </c>
      <c r="R3" s="157"/>
      <c r="S3" s="157"/>
      <c r="T3" s="157"/>
      <c r="U3" s="157"/>
      <c r="V3" s="157"/>
      <c r="W3" s="158"/>
    </row>
    <row r="4" spans="3:27" ht="15.75" thickBot="1">
      <c r="D4" s="10" t="s">
        <v>13</v>
      </c>
      <c r="E4" s="10" t="s">
        <v>15</v>
      </c>
      <c r="F4" s="10" t="s">
        <v>16</v>
      </c>
      <c r="G4" s="15" t="s">
        <v>18</v>
      </c>
      <c r="I4" s="10" t="s">
        <v>21</v>
      </c>
      <c r="J4" s="15" t="s">
        <v>22</v>
      </c>
      <c r="K4" s="15" t="s">
        <v>23</v>
      </c>
      <c r="L4" s="15" t="s">
        <v>24</v>
      </c>
      <c r="M4" s="15" t="s">
        <v>25</v>
      </c>
      <c r="N4" s="15" t="s">
        <v>26</v>
      </c>
      <c r="O4" s="15" t="s">
        <v>27</v>
      </c>
      <c r="Q4" s="9" t="s">
        <v>30</v>
      </c>
      <c r="R4" s="10" t="s">
        <v>31</v>
      </c>
      <c r="S4" s="19" t="s">
        <v>32</v>
      </c>
      <c r="T4" s="10" t="s">
        <v>33</v>
      </c>
      <c r="U4" s="19" t="s">
        <v>34</v>
      </c>
      <c r="V4" s="10" t="s">
        <v>35</v>
      </c>
      <c r="W4" s="20" t="s">
        <v>36</v>
      </c>
    </row>
    <row r="5" spans="3:27">
      <c r="C5" s="6" t="s">
        <v>74</v>
      </c>
      <c r="D5" s="1" t="s">
        <v>65</v>
      </c>
      <c r="E5" s="36" t="s">
        <v>65</v>
      </c>
      <c r="F5" s="36" t="s">
        <v>65</v>
      </c>
      <c r="G5" s="35" t="s">
        <v>65</v>
      </c>
      <c r="I5" s="1" t="s">
        <v>68</v>
      </c>
      <c r="J5" s="36" t="s">
        <v>65</v>
      </c>
      <c r="K5" s="36" t="s">
        <v>68</v>
      </c>
      <c r="L5" s="36" t="s">
        <v>65</v>
      </c>
      <c r="M5" s="36" t="s">
        <v>65</v>
      </c>
      <c r="N5" s="36" t="s">
        <v>65</v>
      </c>
      <c r="O5" s="35" t="s">
        <v>65</v>
      </c>
      <c r="Q5" s="1" t="s">
        <v>68</v>
      </c>
      <c r="R5" s="36" t="s">
        <v>65</v>
      </c>
      <c r="S5" s="36" t="s">
        <v>65</v>
      </c>
      <c r="T5" s="36" t="s">
        <v>65</v>
      </c>
      <c r="U5" s="36" t="s">
        <v>68</v>
      </c>
      <c r="V5" s="36" t="s">
        <v>65</v>
      </c>
      <c r="W5" s="35" t="s">
        <v>65</v>
      </c>
    </row>
    <row r="6" spans="3:27" ht="15.75" thickBot="1">
      <c r="C6" s="8" t="s">
        <v>75</v>
      </c>
      <c r="D6" s="4" t="s">
        <v>66</v>
      </c>
      <c r="E6" s="24" t="s">
        <v>66</v>
      </c>
      <c r="F6" s="24" t="s">
        <v>66</v>
      </c>
      <c r="G6" s="5" t="s">
        <v>69</v>
      </c>
      <c r="I6" s="4" t="s">
        <v>66</v>
      </c>
      <c r="J6" s="24" t="s">
        <v>66</v>
      </c>
      <c r="K6" s="24" t="s">
        <v>66</v>
      </c>
      <c r="L6" s="24" t="s">
        <v>67</v>
      </c>
      <c r="M6" s="24" t="s">
        <v>69</v>
      </c>
      <c r="N6" s="24" t="s">
        <v>66</v>
      </c>
      <c r="O6" s="5" t="s">
        <v>66</v>
      </c>
      <c r="Q6" s="4" t="s">
        <v>66</v>
      </c>
      <c r="R6" s="24" t="s">
        <v>66</v>
      </c>
      <c r="S6" s="24" t="s">
        <v>69</v>
      </c>
      <c r="T6" s="24" t="s">
        <v>66</v>
      </c>
      <c r="U6" s="24" t="s">
        <v>69</v>
      </c>
      <c r="V6" s="24" t="s">
        <v>69</v>
      </c>
      <c r="W6" s="5" t="s">
        <v>69</v>
      </c>
    </row>
    <row r="8" spans="3:27" ht="15.75" thickBot="1">
      <c r="C8" s="38"/>
      <c r="D8" s="37"/>
      <c r="T8" t="s">
        <v>570</v>
      </c>
    </row>
    <row r="9" spans="3:27" ht="15.75" thickBot="1">
      <c r="C9" s="23"/>
      <c r="D9" s="1"/>
      <c r="E9" s="36"/>
      <c r="F9" s="36"/>
      <c r="G9" s="36"/>
      <c r="H9" s="12" t="s">
        <v>88</v>
      </c>
      <c r="I9" s="36"/>
      <c r="J9" s="36"/>
      <c r="K9" s="36"/>
      <c r="L9" s="36"/>
      <c r="M9" s="36"/>
      <c r="N9" s="35"/>
      <c r="O9" s="23"/>
      <c r="P9" s="23"/>
      <c r="Q9" s="23"/>
      <c r="R9" s="23"/>
      <c r="S9" s="23"/>
      <c r="T9" s="23"/>
      <c r="U9" s="23"/>
      <c r="V9" s="23"/>
      <c r="W9" s="23"/>
      <c r="X9" s="23"/>
      <c r="Y9" s="23"/>
      <c r="Z9" s="23"/>
      <c r="AA9" s="23"/>
    </row>
    <row r="10" spans="3:27" ht="15.75" thickBot="1">
      <c r="C10" s="23"/>
      <c r="D10" s="156" t="s">
        <v>79</v>
      </c>
      <c r="E10" s="157"/>
      <c r="F10" s="158"/>
      <c r="G10" s="23"/>
      <c r="H10" s="23"/>
      <c r="I10" s="23"/>
      <c r="J10" s="23"/>
      <c r="K10" s="23"/>
      <c r="L10" s="23"/>
      <c r="M10" s="23"/>
      <c r="N10" s="3"/>
      <c r="O10" s="23"/>
      <c r="P10" s="23"/>
      <c r="Q10" s="23"/>
      <c r="R10" s="23"/>
      <c r="S10" s="23"/>
      <c r="T10" s="23"/>
      <c r="U10" s="23"/>
      <c r="V10" s="23"/>
      <c r="W10" s="23"/>
      <c r="X10" s="23"/>
      <c r="Y10" s="23"/>
      <c r="Z10" s="23"/>
      <c r="AA10" s="23"/>
    </row>
    <row r="11" spans="3:27" ht="15.75" thickBot="1">
      <c r="D11" s="4" t="s">
        <v>76</v>
      </c>
      <c r="E11" s="24"/>
      <c r="F11" s="8">
        <f>(4/18)*100</f>
        <v>22.222222222222221</v>
      </c>
      <c r="G11" s="23"/>
      <c r="H11" s="23"/>
      <c r="I11" s="23"/>
      <c r="J11" s="23"/>
      <c r="K11" s="23"/>
      <c r="L11" s="23"/>
      <c r="M11" s="23"/>
      <c r="N11" s="3"/>
    </row>
    <row r="12" spans="3:27" ht="15.75" thickBot="1">
      <c r="D12" s="2" t="s">
        <v>77</v>
      </c>
      <c r="E12" s="23"/>
      <c r="F12" s="7">
        <f>(14/18)*100</f>
        <v>77.777777777777786</v>
      </c>
      <c r="G12" s="23"/>
      <c r="H12" s="23"/>
      <c r="I12" s="23"/>
      <c r="J12" s="23"/>
      <c r="K12" s="23"/>
      <c r="L12" s="23"/>
      <c r="M12" s="23"/>
      <c r="N12" s="3"/>
    </row>
    <row r="13" spans="3:27" ht="15.75" thickBot="1">
      <c r="D13" s="9" t="s">
        <v>78</v>
      </c>
      <c r="E13" s="19"/>
      <c r="F13" s="10">
        <f>F12+F11</f>
        <v>100</v>
      </c>
      <c r="G13" s="23"/>
      <c r="H13" s="23"/>
      <c r="I13" s="23"/>
      <c r="J13" s="23"/>
      <c r="K13" s="23"/>
      <c r="L13" s="23"/>
      <c r="M13" s="23"/>
      <c r="N13" s="3"/>
    </row>
    <row r="14" spans="3:27" ht="15.75" thickBot="1">
      <c r="D14" s="2"/>
      <c r="E14" s="23"/>
      <c r="F14" s="23"/>
      <c r="G14" s="23"/>
      <c r="H14" s="23"/>
      <c r="I14" s="23"/>
      <c r="J14" s="23"/>
      <c r="K14" s="23"/>
      <c r="L14" s="23"/>
      <c r="M14" s="23"/>
      <c r="N14" s="3"/>
    </row>
    <row r="15" spans="3:27" ht="15.75" thickBot="1">
      <c r="D15" s="156" t="s">
        <v>80</v>
      </c>
      <c r="E15" s="157"/>
      <c r="F15" s="158"/>
      <c r="G15" s="23"/>
      <c r="H15" s="156" t="s">
        <v>81</v>
      </c>
      <c r="I15" s="157"/>
      <c r="J15" s="158"/>
      <c r="K15" s="23"/>
      <c r="L15" s="156" t="s">
        <v>82</v>
      </c>
      <c r="M15" s="157"/>
      <c r="N15" s="158"/>
    </row>
    <row r="16" spans="3:27" ht="15.75" thickBot="1">
      <c r="D16" s="9" t="s">
        <v>76</v>
      </c>
      <c r="E16" s="19"/>
      <c r="F16" s="10">
        <f>(0/4)*100</f>
        <v>0</v>
      </c>
      <c r="G16" s="23"/>
      <c r="H16" s="9" t="s">
        <v>76</v>
      </c>
      <c r="I16" s="19"/>
      <c r="J16" s="10">
        <f>(2/7)*100</f>
        <v>28.571428571428569</v>
      </c>
      <c r="K16" s="23"/>
      <c r="L16" s="9" t="s">
        <v>76</v>
      </c>
      <c r="M16" s="19"/>
      <c r="N16" s="10">
        <f>(2/7)*100</f>
        <v>28.571428571428569</v>
      </c>
    </row>
    <row r="17" spans="4:14" ht="15.75" thickBot="1">
      <c r="D17" s="2" t="s">
        <v>77</v>
      </c>
      <c r="E17" s="23"/>
      <c r="F17" s="7">
        <f>(4/4)*100</f>
        <v>100</v>
      </c>
      <c r="G17" s="23"/>
      <c r="H17" s="2" t="s">
        <v>77</v>
      </c>
      <c r="I17" s="23"/>
      <c r="J17" s="7">
        <f>(5/7)*100</f>
        <v>71.428571428571431</v>
      </c>
      <c r="K17" s="23"/>
      <c r="L17" s="2" t="s">
        <v>77</v>
      </c>
      <c r="M17" s="23"/>
      <c r="N17" s="7">
        <f>(5/7)*100</f>
        <v>71.428571428571431</v>
      </c>
    </row>
    <row r="18" spans="4:14" ht="15.75" thickBot="1">
      <c r="D18" s="9" t="s">
        <v>78</v>
      </c>
      <c r="E18" s="19"/>
      <c r="F18" s="10">
        <f>F17+F16</f>
        <v>100</v>
      </c>
      <c r="G18" s="24"/>
      <c r="H18" s="9" t="s">
        <v>78</v>
      </c>
      <c r="I18" s="19"/>
      <c r="J18" s="10">
        <f>J17+J16</f>
        <v>100</v>
      </c>
      <c r="K18" s="24"/>
      <c r="L18" s="9" t="s">
        <v>78</v>
      </c>
      <c r="M18" s="19"/>
      <c r="N18" s="10">
        <f>N17+N16</f>
        <v>100</v>
      </c>
    </row>
    <row r="20" spans="4:14" ht="15.75" thickBot="1"/>
    <row r="21" spans="4:14" ht="15.75" thickBot="1">
      <c r="D21" s="1"/>
      <c r="E21" s="36"/>
      <c r="F21" s="36"/>
      <c r="G21" s="36"/>
      <c r="H21" s="12" t="s">
        <v>87</v>
      </c>
      <c r="I21" s="36"/>
      <c r="J21" s="36"/>
      <c r="K21" s="36"/>
      <c r="L21" s="36"/>
      <c r="M21" s="36"/>
      <c r="N21" s="35"/>
    </row>
    <row r="22" spans="4:14" ht="15.75" thickBot="1">
      <c r="D22" s="156" t="s">
        <v>83</v>
      </c>
      <c r="E22" s="157"/>
      <c r="F22" s="158"/>
      <c r="G22" s="23"/>
      <c r="H22" s="23"/>
      <c r="I22" s="23"/>
      <c r="J22" s="23"/>
      <c r="K22" s="23"/>
      <c r="L22" s="23"/>
      <c r="M22" s="23"/>
      <c r="N22" s="3"/>
    </row>
    <row r="23" spans="4:14" ht="15.75" thickBot="1">
      <c r="D23" s="4" t="s">
        <v>89</v>
      </c>
      <c r="E23" s="24"/>
      <c r="F23" s="8">
        <f>(6/18)*100</f>
        <v>33.333333333333329</v>
      </c>
      <c r="G23" s="23"/>
      <c r="H23" s="23"/>
      <c r="I23" s="23"/>
      <c r="J23" s="23"/>
      <c r="K23" s="23"/>
      <c r="L23" s="23"/>
      <c r="M23" s="23"/>
      <c r="N23" s="3"/>
    </row>
    <row r="24" spans="4:14" ht="15.75" thickBot="1">
      <c r="D24" s="2" t="s">
        <v>90</v>
      </c>
      <c r="E24" s="23"/>
      <c r="F24" s="7">
        <f>(12/18)*100</f>
        <v>66.666666666666657</v>
      </c>
      <c r="G24" s="23"/>
      <c r="H24" s="23"/>
      <c r="I24" s="23"/>
      <c r="J24" s="23"/>
      <c r="K24" s="23"/>
      <c r="L24" s="23"/>
      <c r="M24" s="23"/>
      <c r="N24" s="3"/>
    </row>
    <row r="25" spans="4:14" ht="15.75" thickBot="1">
      <c r="D25" s="9" t="s">
        <v>78</v>
      </c>
      <c r="E25" s="19"/>
      <c r="F25" s="10">
        <f>F24+F23</f>
        <v>99.999999999999986</v>
      </c>
      <c r="G25" s="23"/>
      <c r="H25" s="23"/>
      <c r="I25" s="23"/>
      <c r="J25" s="23"/>
      <c r="K25" s="23"/>
      <c r="L25" s="23"/>
      <c r="M25" s="23"/>
      <c r="N25" s="3"/>
    </row>
    <row r="26" spans="4:14" ht="15.75" thickBot="1">
      <c r="D26" s="2"/>
      <c r="E26" s="23"/>
      <c r="F26" s="23"/>
      <c r="G26" s="23"/>
      <c r="H26" s="23"/>
      <c r="I26" s="23"/>
      <c r="J26" s="23"/>
      <c r="K26" s="23"/>
      <c r="L26" s="23"/>
      <c r="M26" s="23"/>
      <c r="N26" s="3"/>
    </row>
    <row r="27" spans="4:14" ht="15.75" thickBot="1">
      <c r="D27" s="156" t="s">
        <v>84</v>
      </c>
      <c r="E27" s="157"/>
      <c r="F27" s="158"/>
      <c r="G27" s="23"/>
      <c r="H27" s="156" t="s">
        <v>85</v>
      </c>
      <c r="I27" s="157"/>
      <c r="J27" s="158"/>
      <c r="K27" s="23"/>
      <c r="L27" s="156" t="s">
        <v>86</v>
      </c>
      <c r="M27" s="157"/>
      <c r="N27" s="158"/>
    </row>
    <row r="28" spans="4:14" ht="15.75" thickBot="1">
      <c r="D28" s="4" t="s">
        <v>89</v>
      </c>
      <c r="E28" s="24"/>
      <c r="F28" s="10">
        <f>(1/4)*100</f>
        <v>25</v>
      </c>
      <c r="G28" s="23"/>
      <c r="H28" s="4" t="s">
        <v>89</v>
      </c>
      <c r="I28" s="24"/>
      <c r="J28" s="10">
        <f>(1/7)*100</f>
        <v>14.285714285714285</v>
      </c>
      <c r="K28" s="23"/>
      <c r="L28" s="4" t="s">
        <v>89</v>
      </c>
      <c r="M28" s="24"/>
      <c r="N28" s="10">
        <f>(4/7)*100</f>
        <v>57.142857142857139</v>
      </c>
    </row>
    <row r="29" spans="4:14" ht="15.75" thickBot="1">
      <c r="D29" s="2" t="s">
        <v>90</v>
      </c>
      <c r="E29" s="23"/>
      <c r="F29" s="7">
        <f>(3/4)*100</f>
        <v>75</v>
      </c>
      <c r="G29" s="23"/>
      <c r="H29" s="2" t="s">
        <v>90</v>
      </c>
      <c r="I29" s="23"/>
      <c r="J29" s="7">
        <f>(6/7)*100</f>
        <v>85.714285714285708</v>
      </c>
      <c r="K29" s="23"/>
      <c r="L29" s="2" t="s">
        <v>90</v>
      </c>
      <c r="M29" s="23"/>
      <c r="N29" s="7">
        <f>(3/7)*100</f>
        <v>42.857142857142854</v>
      </c>
    </row>
    <row r="30" spans="4:14" ht="15.75" thickBot="1">
      <c r="D30" s="9" t="s">
        <v>78</v>
      </c>
      <c r="E30" s="19"/>
      <c r="F30" s="10">
        <f>F29+F28</f>
        <v>100</v>
      </c>
      <c r="G30" s="24"/>
      <c r="H30" s="9" t="s">
        <v>78</v>
      </c>
      <c r="I30" s="19"/>
      <c r="J30" s="10">
        <f>J29+J28</f>
        <v>100</v>
      </c>
      <c r="K30" s="24"/>
      <c r="L30" s="9" t="s">
        <v>78</v>
      </c>
      <c r="M30" s="19"/>
      <c r="N30" s="10">
        <f>N29+N28</f>
        <v>100</v>
      </c>
    </row>
    <row r="32" spans="4:14" ht="15.75" thickBot="1"/>
    <row r="33" spans="6:19" ht="15.75" thickBot="1">
      <c r="F33" s="16" t="s">
        <v>445</v>
      </c>
      <c r="G33" s="17"/>
      <c r="H33" s="17"/>
      <c r="I33" s="28"/>
    </row>
    <row r="34" spans="6:19" ht="15.75" thickBot="1">
      <c r="F34" s="76" t="s">
        <v>451</v>
      </c>
      <c r="G34" s="76"/>
      <c r="H34" s="76"/>
      <c r="I34" s="76"/>
      <c r="K34" s="76" t="s">
        <v>451</v>
      </c>
      <c r="L34" s="76"/>
    </row>
    <row r="35" spans="6:19" ht="15.75" thickBot="1">
      <c r="F35" t="s">
        <v>442</v>
      </c>
      <c r="G35">
        <f>4/4</f>
        <v>1</v>
      </c>
      <c r="K35" t="s">
        <v>442</v>
      </c>
      <c r="L35">
        <f>G36</f>
        <v>0.7142857142857143</v>
      </c>
      <c r="O35" s="156" t="s">
        <v>563</v>
      </c>
      <c r="P35" s="158"/>
      <c r="Q35" s="13" t="s">
        <v>523</v>
      </c>
      <c r="R35" s="14" t="s">
        <v>524</v>
      </c>
      <c r="S35" s="83" t="s">
        <v>382</v>
      </c>
    </row>
    <row r="36" spans="6:19" ht="15.75" thickBot="1">
      <c r="F36" t="s">
        <v>443</v>
      </c>
      <c r="G36">
        <f>5/7</f>
        <v>0.7142857142857143</v>
      </c>
      <c r="K36" t="s">
        <v>443</v>
      </c>
      <c r="L36">
        <f>N17/100</f>
        <v>0.7142857142857143</v>
      </c>
      <c r="O36" s="160" t="s">
        <v>561</v>
      </c>
      <c r="P36" s="162"/>
      <c r="Q36" s="9">
        <v>0</v>
      </c>
      <c r="R36" s="89">
        <v>28.571428571428569</v>
      </c>
      <c r="S36" s="88">
        <v>14.285714285714285</v>
      </c>
    </row>
    <row r="37" spans="6:19" ht="15.75" thickBot="1">
      <c r="O37" s="160" t="s">
        <v>562</v>
      </c>
      <c r="P37" s="162"/>
      <c r="Q37" s="9">
        <v>100</v>
      </c>
      <c r="R37" s="89">
        <f>J17</f>
        <v>71.428571428571431</v>
      </c>
      <c r="S37" s="88">
        <f>N17</f>
        <v>71.428571428571431</v>
      </c>
    </row>
    <row r="38" spans="6:19" ht="15.75" thickBot="1">
      <c r="F38" t="s">
        <v>444</v>
      </c>
      <c r="G38">
        <f>9/11</f>
        <v>0.81818181818181823</v>
      </c>
      <c r="K38" t="s">
        <v>444</v>
      </c>
      <c r="L38">
        <f>9/14</f>
        <v>0.6428571428571429</v>
      </c>
      <c r="O38" s="160" t="s">
        <v>522</v>
      </c>
      <c r="P38" s="162"/>
      <c r="Q38" s="167">
        <f>G44</f>
        <v>1.1818736805705576</v>
      </c>
      <c r="R38" s="168"/>
      <c r="S38" s="84"/>
    </row>
    <row r="39" spans="6:19" ht="15.75" thickBot="1">
      <c r="O39" s="160" t="s">
        <v>522</v>
      </c>
      <c r="P39" s="162"/>
      <c r="Q39" s="85"/>
      <c r="R39" s="169">
        <f>L44</f>
        <v>0</v>
      </c>
      <c r="S39" s="170"/>
    </row>
    <row r="40" spans="6:19" ht="15.75" thickBot="1">
      <c r="F40" s="50" t="s">
        <v>446</v>
      </c>
      <c r="G40">
        <f>G35-G36</f>
        <v>0.2857142857142857</v>
      </c>
      <c r="K40" s="50" t="s">
        <v>446</v>
      </c>
      <c r="L40">
        <f>-(L35-L36)</f>
        <v>0</v>
      </c>
      <c r="O40" s="160" t="s">
        <v>522</v>
      </c>
      <c r="P40" s="162"/>
      <c r="Q40" s="86">
        <f>G44</f>
        <v>1.1818736805705576</v>
      </c>
      <c r="R40" s="87"/>
      <c r="S40" s="88">
        <f>Q40</f>
        <v>1.1818736805705576</v>
      </c>
    </row>
    <row r="41" spans="6:19">
      <c r="F41" t="s">
        <v>447</v>
      </c>
      <c r="G41">
        <f>((G38*(1-G38))/4)+((G38*(1-G38)/7))</f>
        <v>5.8441558441558433E-2</v>
      </c>
      <c r="K41" t="s">
        <v>447</v>
      </c>
      <c r="L41">
        <f>((L38*(1-L38))/7)+((L38*(1-L38)/7))</f>
        <v>6.5597667638483959E-2</v>
      </c>
    </row>
    <row r="42" spans="6:19">
      <c r="F42" s="50" t="s">
        <v>447</v>
      </c>
      <c r="G42">
        <f>SQRT(G41)</f>
        <v>0.24174688920761409</v>
      </c>
      <c r="K42" s="50" t="s">
        <v>447</v>
      </c>
      <c r="L42">
        <f>SQRT(L41)</f>
        <v>0.25612041628594145</v>
      </c>
    </row>
    <row r="43" spans="6:19" ht="15.75" thickBot="1"/>
    <row r="44" spans="6:19" ht="15.75" thickBot="1">
      <c r="F44" s="58" t="s">
        <v>448</v>
      </c>
      <c r="G44" s="12">
        <f>G40/G42</f>
        <v>1.1818736805705576</v>
      </c>
      <c r="H44">
        <f>NORMSDIST(G44)</f>
        <v>0.88137208668825262</v>
      </c>
      <c r="K44" s="58" t="s">
        <v>448</v>
      </c>
      <c r="L44" s="12">
        <f>L40/L42</f>
        <v>0</v>
      </c>
    </row>
    <row r="46" spans="6:19">
      <c r="F46" s="50" t="s">
        <v>449</v>
      </c>
    </row>
    <row r="47" spans="6:19">
      <c r="F47" s="50" t="s">
        <v>450</v>
      </c>
    </row>
    <row r="48" spans="6:19" ht="15.75" thickBot="1"/>
    <row r="49" spans="6:19" ht="15.75" thickBot="1">
      <c r="F49" s="156" t="s">
        <v>445</v>
      </c>
      <c r="G49" s="157"/>
      <c r="H49" s="157"/>
      <c r="I49" s="158"/>
    </row>
    <row r="50" spans="6:19" ht="15.75" thickBot="1">
      <c r="F50" s="11" t="s">
        <v>566</v>
      </c>
      <c r="I50" s="11" t="s">
        <v>567</v>
      </c>
      <c r="L50" s="11" t="s">
        <v>568</v>
      </c>
    </row>
    <row r="51" spans="6:19" ht="15.75" thickBot="1">
      <c r="O51" s="156" t="s">
        <v>564</v>
      </c>
      <c r="P51" s="158"/>
      <c r="Q51" s="13" t="s">
        <v>523</v>
      </c>
      <c r="R51" s="14" t="s">
        <v>524</v>
      </c>
      <c r="S51" s="83" t="s">
        <v>382</v>
      </c>
    </row>
    <row r="52" spans="6:19" ht="15.75" thickBot="1">
      <c r="F52" t="s">
        <v>442</v>
      </c>
      <c r="G52">
        <f>3/4</f>
        <v>0.75</v>
      </c>
      <c r="I52" t="s">
        <v>442</v>
      </c>
      <c r="J52">
        <f>3/4</f>
        <v>0.75</v>
      </c>
      <c r="L52" t="s">
        <v>442</v>
      </c>
      <c r="M52" s="82">
        <f>J53</f>
        <v>0.8571428571428571</v>
      </c>
      <c r="O52" s="160" t="s">
        <v>565</v>
      </c>
      <c r="P52" s="162"/>
      <c r="Q52" s="9">
        <v>25</v>
      </c>
      <c r="R52" s="89">
        <f>J28</f>
        <v>14.285714285714285</v>
      </c>
      <c r="S52" s="88">
        <f>N28</f>
        <v>57.142857142857139</v>
      </c>
    </row>
    <row r="53" spans="6:19" ht="15.75" thickBot="1">
      <c r="F53" t="s">
        <v>443</v>
      </c>
      <c r="G53">
        <f>3/7</f>
        <v>0.42857142857142855</v>
      </c>
      <c r="I53" t="s">
        <v>443</v>
      </c>
      <c r="J53" s="82">
        <f>R53/100</f>
        <v>0.8571428571428571</v>
      </c>
      <c r="L53" t="s">
        <v>443</v>
      </c>
      <c r="M53">
        <f>3/7</f>
        <v>0.42857142857142855</v>
      </c>
      <c r="O53" s="160" t="s">
        <v>67</v>
      </c>
      <c r="P53" s="162"/>
      <c r="Q53" s="9">
        <v>75</v>
      </c>
      <c r="R53" s="89">
        <f>J29</f>
        <v>85.714285714285708</v>
      </c>
      <c r="S53" s="88">
        <f>N29</f>
        <v>42.857142857142854</v>
      </c>
    </row>
    <row r="54" spans="6:19" ht="15.75" thickBot="1">
      <c r="O54" s="160" t="s">
        <v>522</v>
      </c>
      <c r="P54" s="162"/>
      <c r="Q54" s="167">
        <f>J61</f>
        <v>0.44320263021395895</v>
      </c>
      <c r="R54" s="168"/>
      <c r="S54" s="84"/>
    </row>
    <row r="55" spans="6:19" ht="15.75" thickBot="1">
      <c r="F55" t="s">
        <v>444</v>
      </c>
      <c r="G55">
        <f>6/11</f>
        <v>0.54545454545454541</v>
      </c>
      <c r="I55" t="s">
        <v>444</v>
      </c>
      <c r="J55">
        <f>9/11</f>
        <v>0.81818181818181823</v>
      </c>
      <c r="L55" t="s">
        <v>444</v>
      </c>
      <c r="M55">
        <f>9/14</f>
        <v>0.6428571428571429</v>
      </c>
      <c r="O55" s="160" t="s">
        <v>522</v>
      </c>
      <c r="P55" s="162"/>
      <c r="Q55" s="85"/>
      <c r="R55" s="171">
        <f>M61</f>
        <v>1.6733200530681513</v>
      </c>
      <c r="S55" s="172"/>
    </row>
    <row r="56" spans="6:19" ht="15.75" thickBot="1">
      <c r="O56" s="160" t="s">
        <v>522</v>
      </c>
      <c r="P56" s="162"/>
      <c r="Q56" s="86">
        <f>M61</f>
        <v>1.6733200530681513</v>
      </c>
      <c r="R56" s="87"/>
      <c r="S56" s="88">
        <f>Q56</f>
        <v>1.6733200530681513</v>
      </c>
    </row>
    <row r="57" spans="6:19">
      <c r="F57" s="50" t="s">
        <v>446</v>
      </c>
      <c r="G57">
        <f>G52-G53</f>
        <v>0.32142857142857145</v>
      </c>
      <c r="I57" s="50" t="s">
        <v>446</v>
      </c>
      <c r="J57" s="82">
        <f>-(J52-J53)</f>
        <v>0.1071428571428571</v>
      </c>
      <c r="L57" s="50" t="s">
        <v>446</v>
      </c>
      <c r="M57">
        <f>M52-M53</f>
        <v>0.42857142857142855</v>
      </c>
    </row>
    <row r="58" spans="6:19">
      <c r="F58" t="s">
        <v>447</v>
      </c>
      <c r="G58">
        <f>((G55*(1-G55))/4)+((G55*(1-G55)/7))</f>
        <v>9.7402597402597407E-2</v>
      </c>
      <c r="I58" t="s">
        <v>447</v>
      </c>
      <c r="J58">
        <f>((J55*(1-J55))/4)+((J55*(1-J55)/7))</f>
        <v>5.8441558441558433E-2</v>
      </c>
      <c r="L58" t="s">
        <v>447</v>
      </c>
      <c r="M58">
        <f>((M55*(1-M55))/7)+((M55*(1-M55)/7))</f>
        <v>6.5597667638483959E-2</v>
      </c>
    </row>
    <row r="59" spans="6:19">
      <c r="F59" s="50" t="s">
        <v>447</v>
      </c>
      <c r="G59">
        <f>SQRT(G58)</f>
        <v>0.31209389196617965</v>
      </c>
      <c r="I59" s="50" t="s">
        <v>447</v>
      </c>
      <c r="J59">
        <f>SQRT(J58)</f>
        <v>0.24174688920761409</v>
      </c>
      <c r="L59" s="50" t="s">
        <v>447</v>
      </c>
      <c r="M59">
        <f>SQRT(M58)</f>
        <v>0.25612041628594145</v>
      </c>
    </row>
    <row r="60" spans="6:19" ht="15.75" thickBot="1"/>
    <row r="61" spans="6:19" ht="15.75" thickBot="1">
      <c r="F61" s="58" t="s">
        <v>448</v>
      </c>
      <c r="G61" s="12">
        <f>G57/G59</f>
        <v>1.0299098434883929</v>
      </c>
      <c r="H61">
        <f>NORMSDIST(G61)</f>
        <v>0.84847383525495856</v>
      </c>
      <c r="I61" s="58" t="s">
        <v>448</v>
      </c>
      <c r="J61" s="12">
        <f>J57/J59</f>
        <v>0.44320263021395895</v>
      </c>
      <c r="L61" s="58" t="s">
        <v>448</v>
      </c>
      <c r="M61" s="12">
        <f>M57/M59</f>
        <v>1.6733200530681513</v>
      </c>
    </row>
    <row r="63" spans="6:19">
      <c r="F63" s="50" t="s">
        <v>452</v>
      </c>
    </row>
    <row r="64" spans="6:19">
      <c r="F64" s="50" t="s">
        <v>453</v>
      </c>
    </row>
  </sheetData>
  <mergeCells count="28">
    <mergeCell ref="O56:P56"/>
    <mergeCell ref="O52:P52"/>
    <mergeCell ref="O53:P53"/>
    <mergeCell ref="O54:P54"/>
    <mergeCell ref="Q54:R54"/>
    <mergeCell ref="O55:P55"/>
    <mergeCell ref="R55:S55"/>
    <mergeCell ref="O40:P40"/>
    <mergeCell ref="O36:P36"/>
    <mergeCell ref="O37:P37"/>
    <mergeCell ref="O35:P35"/>
    <mergeCell ref="O51:P51"/>
    <mergeCell ref="F49:I49"/>
    <mergeCell ref="Q3:W3"/>
    <mergeCell ref="D10:F10"/>
    <mergeCell ref="D15:F15"/>
    <mergeCell ref="H15:J15"/>
    <mergeCell ref="L15:N15"/>
    <mergeCell ref="D22:F22"/>
    <mergeCell ref="D27:F27"/>
    <mergeCell ref="H27:J27"/>
    <mergeCell ref="L27:N27"/>
    <mergeCell ref="D3:G3"/>
    <mergeCell ref="I3:O3"/>
    <mergeCell ref="O38:P38"/>
    <mergeCell ref="Q38:R38"/>
    <mergeCell ref="O39:P39"/>
    <mergeCell ref="R39:S39"/>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dimension ref="D2:W66"/>
  <sheetViews>
    <sheetView workbookViewId="0">
      <selection activeCell="D5" sqref="D5:W5"/>
    </sheetView>
  </sheetViews>
  <sheetFormatPr baseColWidth="10" defaultRowHeight="15"/>
  <cols>
    <col min="8" max="8" width="11.85546875" bestFit="1" customWidth="1"/>
  </cols>
  <sheetData>
    <row r="2" spans="4:23" ht="15.75" thickBot="1"/>
    <row r="3" spans="4:23" ht="15.75" thickBot="1">
      <c r="D3" s="156" t="s">
        <v>20</v>
      </c>
      <c r="E3" s="157"/>
      <c r="F3" s="157"/>
      <c r="G3" s="158"/>
      <c r="I3" s="156" t="s">
        <v>28</v>
      </c>
      <c r="J3" s="157"/>
      <c r="K3" s="157"/>
      <c r="L3" s="157"/>
      <c r="M3" s="157"/>
      <c r="N3" s="157"/>
      <c r="O3" s="158"/>
      <c r="Q3" s="156" t="s">
        <v>29</v>
      </c>
      <c r="R3" s="157"/>
      <c r="S3" s="157"/>
      <c r="T3" s="157"/>
      <c r="U3" s="157"/>
      <c r="V3" s="157"/>
      <c r="W3" s="158"/>
    </row>
    <row r="4" spans="4:23" ht="15.75" thickBot="1">
      <c r="D4" s="10" t="s">
        <v>13</v>
      </c>
      <c r="E4" s="10" t="s">
        <v>15</v>
      </c>
      <c r="F4" s="10" t="s">
        <v>16</v>
      </c>
      <c r="G4" s="15" t="s">
        <v>18</v>
      </c>
      <c r="I4" s="10" t="s">
        <v>21</v>
      </c>
      <c r="J4" s="15" t="s">
        <v>22</v>
      </c>
      <c r="K4" s="15" t="s">
        <v>23</v>
      </c>
      <c r="L4" s="15" t="s">
        <v>24</v>
      </c>
      <c r="M4" s="15" t="s">
        <v>25</v>
      </c>
      <c r="N4" s="15" t="s">
        <v>26</v>
      </c>
      <c r="O4" s="15" t="s">
        <v>27</v>
      </c>
      <c r="Q4" s="9" t="s">
        <v>30</v>
      </c>
      <c r="R4" s="10" t="s">
        <v>31</v>
      </c>
      <c r="S4" s="19" t="s">
        <v>32</v>
      </c>
      <c r="T4" s="10" t="s">
        <v>33</v>
      </c>
      <c r="U4" s="19" t="s">
        <v>34</v>
      </c>
      <c r="V4" s="10" t="s">
        <v>35</v>
      </c>
      <c r="W4" s="20" t="s">
        <v>36</v>
      </c>
    </row>
    <row r="5" spans="4:23">
      <c r="D5">
        <v>54</v>
      </c>
      <c r="E5">
        <v>40</v>
      </c>
      <c r="F5">
        <v>59</v>
      </c>
      <c r="G5">
        <v>65</v>
      </c>
      <c r="I5">
        <v>78</v>
      </c>
      <c r="J5">
        <v>49</v>
      </c>
      <c r="K5">
        <v>62</v>
      </c>
      <c r="L5" t="s">
        <v>102</v>
      </c>
      <c r="M5">
        <v>56</v>
      </c>
      <c r="N5">
        <v>56</v>
      </c>
      <c r="O5">
        <v>60</v>
      </c>
      <c r="Q5">
        <v>54</v>
      </c>
      <c r="R5">
        <v>84</v>
      </c>
      <c r="S5">
        <v>76</v>
      </c>
      <c r="T5">
        <v>45</v>
      </c>
      <c r="U5">
        <v>70</v>
      </c>
      <c r="V5">
        <v>75</v>
      </c>
      <c r="W5">
        <v>55</v>
      </c>
    </row>
    <row r="6" spans="4:23">
      <c r="D6" t="s">
        <v>106</v>
      </c>
      <c r="G6" t="s">
        <v>104</v>
      </c>
      <c r="M6" t="s">
        <v>105</v>
      </c>
      <c r="N6" t="s">
        <v>103</v>
      </c>
    </row>
    <row r="7" spans="4:23" ht="15.75" thickBot="1"/>
    <row r="8" spans="4:23" ht="15.75" thickBot="1">
      <c r="D8" s="156" t="s">
        <v>107</v>
      </c>
      <c r="E8" s="158"/>
      <c r="F8" s="6">
        <f>(SUM(D5:W5))/17</f>
        <v>61.058823529411768</v>
      </c>
    </row>
    <row r="9" spans="4:23" ht="15.75" thickBot="1">
      <c r="D9" s="39" t="s">
        <v>108</v>
      </c>
      <c r="E9" s="40"/>
      <c r="F9" s="7">
        <f>D5+G9+G9+G9/4</f>
        <v>54</v>
      </c>
    </row>
    <row r="10" spans="4:23" ht="15.75" thickBot="1">
      <c r="D10" s="156" t="s">
        <v>110</v>
      </c>
      <c r="E10" s="158"/>
      <c r="F10" s="7">
        <f>(SUM(I5:O5))/6</f>
        <v>60.166666666666664</v>
      </c>
    </row>
    <row r="11" spans="4:23" ht="15.75" thickBot="1">
      <c r="D11" s="29" t="s">
        <v>109</v>
      </c>
      <c r="E11" s="30"/>
      <c r="F11" s="8">
        <f>(SUM(Q5:W5))/7</f>
        <v>65.571428571428569</v>
      </c>
    </row>
    <row r="15" spans="4:23" ht="15.75" thickBot="1"/>
    <row r="16" spans="4:23" ht="15.75" thickBot="1">
      <c r="G16" s="156" t="s">
        <v>326</v>
      </c>
      <c r="H16" s="158"/>
      <c r="J16" s="156" t="s">
        <v>327</v>
      </c>
      <c r="K16" s="158"/>
      <c r="M16" s="156" t="s">
        <v>328</v>
      </c>
      <c r="N16" s="158"/>
    </row>
    <row r="17" spans="7:14" ht="15.75" thickBot="1">
      <c r="G17" s="16" t="s">
        <v>71</v>
      </c>
      <c r="H17" s="14">
        <v>54</v>
      </c>
      <c r="J17" s="16" t="s">
        <v>330</v>
      </c>
      <c r="K17" s="14">
        <v>60.166666666666664</v>
      </c>
      <c r="M17" s="16" t="s">
        <v>330</v>
      </c>
      <c r="N17" s="8">
        <v>65.571428571428569</v>
      </c>
    </row>
    <row r="18" spans="7:14">
      <c r="G18" s="2" t="s">
        <v>321</v>
      </c>
      <c r="H18" s="3">
        <f>VAR(D5:G5)</f>
        <v>113.66666666666667</v>
      </c>
      <c r="J18" s="2" t="s">
        <v>329</v>
      </c>
      <c r="K18">
        <f>VAR(I5:O5)</f>
        <v>96.16666666666643</v>
      </c>
      <c r="M18" s="2" t="s">
        <v>329</v>
      </c>
      <c r="N18">
        <f>VAR(Q5:W5)</f>
        <v>204.28571428571436</v>
      </c>
    </row>
    <row r="19" spans="7:14" ht="15.75" thickBot="1">
      <c r="G19" s="4" t="s">
        <v>325</v>
      </c>
      <c r="H19" s="5">
        <v>4</v>
      </c>
      <c r="J19" s="4" t="s">
        <v>325</v>
      </c>
      <c r="K19" s="5">
        <v>7</v>
      </c>
      <c r="M19" s="4" t="s">
        <v>325</v>
      </c>
      <c r="N19" s="5">
        <v>7</v>
      </c>
    </row>
    <row r="20" spans="7:14" ht="15.75" thickBot="1">
      <c r="G20" s="9" t="s">
        <v>315</v>
      </c>
      <c r="H20" s="20">
        <f>STDEV(D5:G5)</f>
        <v>10.661457061146317</v>
      </c>
      <c r="J20" s="9" t="s">
        <v>317</v>
      </c>
      <c r="K20" s="20">
        <f>STDEV(I5:O5)</f>
        <v>9.8064604555704218</v>
      </c>
      <c r="M20" s="9" t="s">
        <v>318</v>
      </c>
      <c r="N20" s="20">
        <f>STDEV(Q5:W5)</f>
        <v>14.29285535803516</v>
      </c>
    </row>
    <row r="23" spans="7:14">
      <c r="G23" s="37"/>
      <c r="H23" s="37"/>
    </row>
    <row r="24" spans="7:14">
      <c r="G24" s="163"/>
      <c r="H24" s="163"/>
      <c r="J24" t="s">
        <v>341</v>
      </c>
      <c r="L24">
        <f>(H19-1)*H18+(H19-1)*N18</f>
        <v>953.85714285714312</v>
      </c>
    </row>
    <row r="25" spans="7:14">
      <c r="G25" s="37"/>
      <c r="H25" s="37"/>
      <c r="J25" t="s">
        <v>342</v>
      </c>
      <c r="L25">
        <f>H19+N19-2</f>
        <v>9</v>
      </c>
    </row>
    <row r="26" spans="7:14">
      <c r="G26" s="60"/>
      <c r="H26" s="60"/>
      <c r="J26" t="s">
        <v>343</v>
      </c>
      <c r="L26">
        <f>L24/L25</f>
        <v>105.98412698412702</v>
      </c>
    </row>
    <row r="27" spans="7:14">
      <c r="G27" s="37"/>
      <c r="H27" s="37"/>
      <c r="J27" s="50" t="s">
        <v>344</v>
      </c>
      <c r="L27">
        <f>SQRT(L26)</f>
        <v>10.294859250331061</v>
      </c>
    </row>
    <row r="28" spans="7:14">
      <c r="G28" s="37"/>
      <c r="H28" s="37"/>
    </row>
    <row r="29" spans="7:14">
      <c r="J29" s="50" t="s">
        <v>345</v>
      </c>
      <c r="L29">
        <f>L30/(L31*L32)</f>
        <v>1.793284680979748</v>
      </c>
    </row>
    <row r="30" spans="7:14">
      <c r="J30" t="s">
        <v>346</v>
      </c>
      <c r="L30">
        <f>-(H17-N17)</f>
        <v>11.571428571428569</v>
      </c>
    </row>
    <row r="31" spans="7:14">
      <c r="J31" t="s">
        <v>347</v>
      </c>
      <c r="L31">
        <v>10.294859250331061</v>
      </c>
    </row>
    <row r="32" spans="7:14">
      <c r="J32" t="s">
        <v>348</v>
      </c>
      <c r="L32">
        <f>SQRT(1/4+1/7)</f>
        <v>0.62678317052800869</v>
      </c>
    </row>
    <row r="33" spans="4:11" ht="15.75" thickBot="1"/>
    <row r="34" spans="4:11" ht="15.75" thickBot="1">
      <c r="J34" s="58" t="s">
        <v>335</v>
      </c>
      <c r="K34" s="18">
        <f>TDIST(L29,9,2)</f>
        <v>0.10651635664325164</v>
      </c>
    </row>
    <row r="41" spans="4:11" ht="15.75" thickBot="1"/>
    <row r="42" spans="4:11" ht="15.75" thickBot="1">
      <c r="E42" s="62" t="s">
        <v>352</v>
      </c>
      <c r="F42" s="61"/>
    </row>
    <row r="43" spans="4:11" ht="15.75" thickBot="1">
      <c r="D43" s="58" t="s">
        <v>355</v>
      </c>
      <c r="E43" s="61">
        <f>SUM(I47:K53)</f>
        <v>2366.9411764705883</v>
      </c>
    </row>
    <row r="44" spans="4:11" ht="15.75" thickBot="1">
      <c r="D44" t="s">
        <v>354</v>
      </c>
      <c r="F44">
        <f>F8</f>
        <v>61.058823529411768</v>
      </c>
    </row>
    <row r="45" spans="4:11" ht="15.75" thickBot="1">
      <c r="D45" s="160" t="s">
        <v>356</v>
      </c>
      <c r="E45" s="161"/>
      <c r="F45" s="161"/>
      <c r="G45" s="162"/>
      <c r="I45" s="160" t="s">
        <v>357</v>
      </c>
      <c r="J45" s="161"/>
      <c r="K45" s="162"/>
    </row>
    <row r="46" spans="4:11" ht="15.75" thickBot="1">
      <c r="D46" s="1"/>
      <c r="E46" s="10" t="s">
        <v>17</v>
      </c>
      <c r="F46" s="10" t="s">
        <v>327</v>
      </c>
      <c r="G46" s="20" t="s">
        <v>328</v>
      </c>
      <c r="I46" s="10" t="s">
        <v>17</v>
      </c>
      <c r="J46" s="10" t="s">
        <v>327</v>
      </c>
      <c r="K46" s="20" t="s">
        <v>328</v>
      </c>
    </row>
    <row r="47" spans="4:11">
      <c r="D47" s="2" t="s">
        <v>374</v>
      </c>
      <c r="E47" s="7">
        <f>D5-F8</f>
        <v>-7.058823529411768</v>
      </c>
      <c r="F47" s="7">
        <f>I5-F8</f>
        <v>16.941176470588232</v>
      </c>
      <c r="G47" s="3">
        <f>Q5-F44</f>
        <v>-7.058823529411768</v>
      </c>
      <c r="I47">
        <f>E47*E47</f>
        <v>49.826989619377208</v>
      </c>
      <c r="J47">
        <f t="shared" ref="J47:K53" si="0">F47*F47</f>
        <v>287.00346020761236</v>
      </c>
      <c r="K47">
        <f t="shared" si="0"/>
        <v>49.826989619377208</v>
      </c>
    </row>
    <row r="48" spans="4:11">
      <c r="D48" s="2" t="s">
        <v>374</v>
      </c>
      <c r="E48" s="7">
        <f>E5-F8</f>
        <v>-21.058823529411768</v>
      </c>
      <c r="F48" s="7">
        <f>J5-F8</f>
        <v>-12.058823529411768</v>
      </c>
      <c r="G48" s="3">
        <f>R5-F8</f>
        <v>22.941176470588232</v>
      </c>
      <c r="I48">
        <f t="shared" ref="I48:I50" si="1">E48*E48</f>
        <v>443.47404844290674</v>
      </c>
      <c r="J48">
        <f t="shared" si="0"/>
        <v>145.41522491349488</v>
      </c>
      <c r="K48">
        <f t="shared" si="0"/>
        <v>526.29757785467109</v>
      </c>
    </row>
    <row r="49" spans="4:15">
      <c r="D49" s="2" t="s">
        <v>374</v>
      </c>
      <c r="E49" s="7">
        <f>F5-F8</f>
        <v>-2.058823529411768</v>
      </c>
      <c r="F49" s="7">
        <f>K5-F8</f>
        <v>0.94117647058823195</v>
      </c>
      <c r="G49" s="3">
        <f>S5-F8</f>
        <v>14.941176470588232</v>
      </c>
      <c r="I49">
        <f t="shared" si="1"/>
        <v>4.2387543252595297</v>
      </c>
      <c r="J49">
        <f t="shared" si="0"/>
        <v>0.88581314878892103</v>
      </c>
      <c r="K49">
        <f t="shared" si="0"/>
        <v>223.23875432525941</v>
      </c>
    </row>
    <row r="50" spans="4:15">
      <c r="D50" s="2" t="s">
        <v>374</v>
      </c>
      <c r="E50" s="7">
        <f>G5-F8</f>
        <v>3.941176470588232</v>
      </c>
      <c r="F50" s="7"/>
      <c r="G50" s="3">
        <f>T5-F8</f>
        <v>-16.058823529411768</v>
      </c>
      <c r="I50">
        <f t="shared" si="1"/>
        <v>15.532871972318313</v>
      </c>
      <c r="J50">
        <f t="shared" si="0"/>
        <v>0</v>
      </c>
      <c r="K50">
        <f t="shared" si="0"/>
        <v>257.88581314878905</v>
      </c>
    </row>
    <row r="51" spans="4:15">
      <c r="D51" s="2" t="s">
        <v>374</v>
      </c>
      <c r="E51" s="7"/>
      <c r="F51" s="7">
        <f>M5-F8</f>
        <v>-5.058823529411768</v>
      </c>
      <c r="G51" s="3">
        <f>U5-F8</f>
        <v>8.941176470588232</v>
      </c>
      <c r="J51">
        <f t="shared" si="0"/>
        <v>25.591695501730136</v>
      </c>
      <c r="K51">
        <f t="shared" si="0"/>
        <v>79.944636678200638</v>
      </c>
    </row>
    <row r="52" spans="4:15">
      <c r="D52" s="2" t="s">
        <v>374</v>
      </c>
      <c r="E52" s="7"/>
      <c r="F52" s="7">
        <f>N5-F8</f>
        <v>-5.058823529411768</v>
      </c>
      <c r="G52" s="3">
        <f>V5-F8</f>
        <v>13.941176470588232</v>
      </c>
      <c r="J52">
        <f t="shared" si="0"/>
        <v>25.591695501730136</v>
      </c>
      <c r="K52">
        <f t="shared" si="0"/>
        <v>194.35640138408294</v>
      </c>
    </row>
    <row r="53" spans="4:15" ht="15.75" thickBot="1">
      <c r="D53" s="2" t="s">
        <v>374</v>
      </c>
      <c r="E53" s="8"/>
      <c r="F53" s="7">
        <f>O5-F8</f>
        <v>-1.058823529411768</v>
      </c>
      <c r="G53" s="3">
        <f>W5-F8</f>
        <v>-6.058823529411768</v>
      </c>
      <c r="J53">
        <f t="shared" si="0"/>
        <v>1.1211072664359933</v>
      </c>
      <c r="K53">
        <f t="shared" si="0"/>
        <v>36.709342560553672</v>
      </c>
    </row>
    <row r="54" spans="4:15" ht="15.75" thickBot="1"/>
    <row r="55" spans="4:15" ht="15.75" thickBot="1">
      <c r="D55" s="58" t="s">
        <v>358</v>
      </c>
      <c r="E55" s="61">
        <f>E60+F60+G60</f>
        <v>346.62885154061615</v>
      </c>
    </row>
    <row r="56" spans="4:15" ht="15.75" thickBot="1">
      <c r="D56" s="63"/>
      <c r="E56" s="65" t="s">
        <v>17</v>
      </c>
      <c r="F56" s="66" t="s">
        <v>327</v>
      </c>
      <c r="G56" s="65" t="s">
        <v>328</v>
      </c>
      <c r="H56" s="64"/>
      <c r="I56" s="37"/>
      <c r="J56" s="163"/>
      <c r="K56" s="163"/>
    </row>
    <row r="57" spans="4:15" ht="15.75" thickBot="1">
      <c r="D57" s="63" t="s">
        <v>373</v>
      </c>
      <c r="E57" s="15">
        <f>F9</f>
        <v>54</v>
      </c>
      <c r="F57" s="15">
        <f>F10</f>
        <v>60.166666666666664</v>
      </c>
      <c r="G57" s="22">
        <f>F11</f>
        <v>65.571428571428569</v>
      </c>
      <c r="H57" s="37"/>
      <c r="I57" s="37"/>
      <c r="J57" s="64"/>
      <c r="K57" s="37"/>
    </row>
    <row r="58" spans="4:15" ht="15.75" thickBot="1">
      <c r="D58" s="64" t="s">
        <v>359</v>
      </c>
      <c r="E58">
        <f>E57-F44</f>
        <v>-7.058823529411768</v>
      </c>
      <c r="F58">
        <f>F57-F44</f>
        <v>-0.89215686274510375</v>
      </c>
      <c r="G58">
        <f>G57-F44</f>
        <v>4.5126050420168013</v>
      </c>
    </row>
    <row r="59" spans="4:15" ht="15.75" thickBot="1">
      <c r="D59" s="64" t="s">
        <v>360</v>
      </c>
      <c r="E59">
        <f>E58*E58</f>
        <v>49.826989619377208</v>
      </c>
      <c r="F59">
        <f t="shared" ref="F59:G59" si="2">F58*F58</f>
        <v>0.79594386774318593</v>
      </c>
      <c r="G59">
        <f t="shared" si="2"/>
        <v>20.363604265235459</v>
      </c>
      <c r="M59" s="156" t="s">
        <v>379</v>
      </c>
      <c r="N59" s="157"/>
      <c r="O59" s="158"/>
    </row>
    <row r="60" spans="4:15" ht="15.75" thickBot="1">
      <c r="D60" s="64" t="s">
        <v>361</v>
      </c>
      <c r="E60">
        <f>E59*4</f>
        <v>199.30795847750883</v>
      </c>
      <c r="F60">
        <f>F59*6</f>
        <v>4.7756632064591154</v>
      </c>
      <c r="G60">
        <f>G59*7</f>
        <v>142.54522985664821</v>
      </c>
      <c r="L60" s="12" t="s">
        <v>388</v>
      </c>
      <c r="M60" s="19" t="s">
        <v>380</v>
      </c>
      <c r="N60" s="10" t="s">
        <v>381</v>
      </c>
      <c r="O60" s="20" t="s">
        <v>382</v>
      </c>
    </row>
    <row r="61" spans="4:15" ht="15.75" thickBot="1">
      <c r="L61" s="49" t="s">
        <v>384</v>
      </c>
      <c r="M61" s="68">
        <v>54</v>
      </c>
      <c r="N61" s="49">
        <v>60.16</v>
      </c>
      <c r="O61" s="49">
        <v>65.569999999999993</v>
      </c>
    </row>
    <row r="62" spans="4:15" ht="15.75" thickBot="1">
      <c r="D62" s="31" t="s">
        <v>362</v>
      </c>
      <c r="E62" s="32"/>
      <c r="F62" s="32"/>
      <c r="G62" s="32"/>
      <c r="H62" s="18"/>
      <c r="L62" s="15" t="s">
        <v>385</v>
      </c>
      <c r="M62" s="19">
        <v>10.661457061146317</v>
      </c>
      <c r="N62" s="20">
        <v>9.8064604555704218</v>
      </c>
      <c r="O62" s="20">
        <v>14.29285535803516</v>
      </c>
    </row>
    <row r="63" spans="4:15" ht="15.75" thickBot="1">
      <c r="D63" s="2" t="s">
        <v>363</v>
      </c>
      <c r="E63" s="23" t="s">
        <v>364</v>
      </c>
      <c r="F63" s="23" t="s">
        <v>365</v>
      </c>
      <c r="G63" s="23" t="s">
        <v>366</v>
      </c>
      <c r="H63" s="3" t="s">
        <v>367</v>
      </c>
      <c r="L63" s="15" t="s">
        <v>387</v>
      </c>
      <c r="M63" s="154">
        <v>1.2010000000000001</v>
      </c>
      <c r="N63" s="154"/>
      <c r="O63" s="155"/>
    </row>
    <row r="64" spans="4:15" ht="15.75" thickBot="1">
      <c r="D64" s="2" t="s">
        <v>368</v>
      </c>
      <c r="E64" s="23">
        <f>E55</f>
        <v>346.62885154061615</v>
      </c>
      <c r="F64" s="23">
        <v>2</v>
      </c>
      <c r="G64" s="23">
        <f>E64/F64</f>
        <v>173.31442577030808</v>
      </c>
      <c r="H64" s="3">
        <f>G64/G65</f>
        <v>1.2010033947936325</v>
      </c>
      <c r="L64" s="22" t="s">
        <v>386</v>
      </c>
      <c r="M64" s="154">
        <v>0.33</v>
      </c>
      <c r="N64" s="154"/>
      <c r="O64" s="155"/>
    </row>
    <row r="65" spans="4:8">
      <c r="D65" s="2" t="s">
        <v>369</v>
      </c>
      <c r="E65" s="23">
        <f>E66-E64</f>
        <v>2020.3123249299722</v>
      </c>
      <c r="F65" s="23">
        <v>14</v>
      </c>
      <c r="G65" s="23">
        <f>E65/F65</f>
        <v>144.30802320928373</v>
      </c>
      <c r="H65" s="3"/>
    </row>
    <row r="66" spans="4:8" ht="15.75" thickBot="1">
      <c r="D66" s="4" t="s">
        <v>78</v>
      </c>
      <c r="E66" s="24">
        <f>E43</f>
        <v>2366.9411764705883</v>
      </c>
      <c r="F66" s="24">
        <v>16</v>
      </c>
      <c r="G66" s="24"/>
      <c r="H66" s="67">
        <f>FDIST(H64,F64,F65)</f>
        <v>0.33007857693773479</v>
      </c>
    </row>
  </sheetData>
  <mergeCells count="15">
    <mergeCell ref="D3:G3"/>
    <mergeCell ref="I3:O3"/>
    <mergeCell ref="D8:E8"/>
    <mergeCell ref="D10:E10"/>
    <mergeCell ref="D45:G45"/>
    <mergeCell ref="I45:K45"/>
    <mergeCell ref="G16:H16"/>
    <mergeCell ref="J16:K16"/>
    <mergeCell ref="G24:H24"/>
    <mergeCell ref="M59:O59"/>
    <mergeCell ref="M63:O63"/>
    <mergeCell ref="M64:O64"/>
    <mergeCell ref="J56:K56"/>
    <mergeCell ref="Q3:W3"/>
    <mergeCell ref="M16:N16"/>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dimension ref="B1:V75"/>
  <sheetViews>
    <sheetView topLeftCell="G1" zoomScale="85" zoomScaleNormal="85" workbookViewId="0">
      <selection activeCell="H5" sqref="H5:V5"/>
    </sheetView>
  </sheetViews>
  <sheetFormatPr baseColWidth="10" defaultRowHeight="15"/>
  <cols>
    <col min="4" max="4" width="14.5703125" customWidth="1"/>
    <col min="5" max="5" width="13.7109375" customWidth="1"/>
    <col min="6" max="6" width="14.85546875" customWidth="1"/>
    <col min="19" max="19" width="16.42578125" customWidth="1"/>
  </cols>
  <sheetData>
    <row r="1" spans="2:22" ht="15.75" thickBot="1">
      <c r="C1" s="156" t="s">
        <v>154</v>
      </c>
      <c r="D1" s="158"/>
    </row>
    <row r="2" spans="2:22" ht="15.75" thickBot="1"/>
    <row r="3" spans="2:22" ht="15.75" thickBot="1">
      <c r="C3" s="156" t="s">
        <v>20</v>
      </c>
      <c r="D3" s="157"/>
      <c r="E3" s="157"/>
      <c r="F3" s="158"/>
      <c r="H3" s="156" t="s">
        <v>28</v>
      </c>
      <c r="I3" s="157"/>
      <c r="J3" s="157"/>
      <c r="K3" s="157"/>
      <c r="L3" s="157"/>
      <c r="M3" s="157"/>
      <c r="N3" s="158"/>
      <c r="P3" s="156" t="s">
        <v>29</v>
      </c>
      <c r="Q3" s="157"/>
      <c r="R3" s="157"/>
      <c r="S3" s="157"/>
      <c r="T3" s="157"/>
      <c r="U3" s="157"/>
      <c r="V3" s="158"/>
    </row>
    <row r="4" spans="2:22" ht="15.75" thickBot="1">
      <c r="C4" s="10" t="s">
        <v>13</v>
      </c>
      <c r="D4" s="10" t="s">
        <v>15</v>
      </c>
      <c r="E4" s="10" t="s">
        <v>16</v>
      </c>
      <c r="F4" s="15" t="s">
        <v>18</v>
      </c>
      <c r="H4" s="10" t="s">
        <v>21</v>
      </c>
      <c r="I4" s="15" t="s">
        <v>22</v>
      </c>
      <c r="J4" s="15" t="s">
        <v>23</v>
      </c>
      <c r="K4" s="15" t="s">
        <v>24</v>
      </c>
      <c r="L4" s="15" t="s">
        <v>25</v>
      </c>
      <c r="M4" s="15" t="s">
        <v>26</v>
      </c>
      <c r="N4" s="15" t="s">
        <v>27</v>
      </c>
      <c r="P4" s="9" t="s">
        <v>30</v>
      </c>
      <c r="Q4" s="10" t="s">
        <v>31</v>
      </c>
      <c r="R4" s="19" t="s">
        <v>32</v>
      </c>
      <c r="S4" s="10" t="s">
        <v>33</v>
      </c>
      <c r="T4" s="19" t="s">
        <v>34</v>
      </c>
      <c r="U4" s="10" t="s">
        <v>35</v>
      </c>
      <c r="V4" s="20" t="s">
        <v>36</v>
      </c>
    </row>
    <row r="5" spans="2:22">
      <c r="B5" s="6" t="s">
        <v>152</v>
      </c>
      <c r="C5" s="1">
        <v>1</v>
      </c>
      <c r="D5" s="36">
        <v>1</v>
      </c>
      <c r="E5" s="36">
        <v>1</v>
      </c>
      <c r="F5" s="35">
        <v>1</v>
      </c>
      <c r="H5">
        <v>2</v>
      </c>
      <c r="I5">
        <v>2</v>
      </c>
      <c r="J5">
        <v>2</v>
      </c>
      <c r="K5">
        <v>2</v>
      </c>
      <c r="L5">
        <v>1</v>
      </c>
      <c r="M5">
        <v>2</v>
      </c>
      <c r="N5">
        <v>1</v>
      </c>
      <c r="P5">
        <v>2</v>
      </c>
      <c r="Q5">
        <v>2</v>
      </c>
      <c r="R5">
        <v>2</v>
      </c>
      <c r="S5">
        <v>2</v>
      </c>
      <c r="T5">
        <v>1</v>
      </c>
      <c r="U5">
        <v>2</v>
      </c>
      <c r="V5">
        <v>2</v>
      </c>
    </row>
    <row r="6" spans="2:22" ht="15.75" thickBot="1">
      <c r="B6" s="8" t="s">
        <v>153</v>
      </c>
      <c r="C6" s="4">
        <v>1</v>
      </c>
      <c r="D6" s="24">
        <v>1</v>
      </c>
      <c r="E6" s="24">
        <v>1</v>
      </c>
      <c r="F6" s="5">
        <v>1</v>
      </c>
      <c r="H6">
        <v>6</v>
      </c>
      <c r="I6">
        <v>6</v>
      </c>
      <c r="J6">
        <v>6</v>
      </c>
      <c r="K6">
        <v>6</v>
      </c>
      <c r="L6">
        <v>1</v>
      </c>
      <c r="M6">
        <v>6</v>
      </c>
      <c r="N6">
        <v>5</v>
      </c>
      <c r="P6">
        <v>6</v>
      </c>
      <c r="Q6">
        <v>6</v>
      </c>
      <c r="R6">
        <v>6</v>
      </c>
      <c r="S6">
        <v>6</v>
      </c>
      <c r="T6">
        <v>1</v>
      </c>
      <c r="U6">
        <v>6</v>
      </c>
      <c r="V6">
        <v>6</v>
      </c>
    </row>
    <row r="7" spans="2:22" ht="15.75" thickBot="1">
      <c r="I7" t="s">
        <v>155</v>
      </c>
      <c r="J7" t="s">
        <v>156</v>
      </c>
      <c r="L7" t="s">
        <v>157</v>
      </c>
    </row>
    <row r="8" spans="2:22" ht="15.75" thickBot="1">
      <c r="C8" s="31" t="s">
        <v>158</v>
      </c>
      <c r="D8" s="32"/>
      <c r="E8" s="18"/>
    </row>
    <row r="9" spans="2:22">
      <c r="C9" s="2" t="s">
        <v>159</v>
      </c>
      <c r="D9" s="23"/>
      <c r="E9" s="3">
        <f>(7/18)*100</f>
        <v>38.888888888888893</v>
      </c>
    </row>
    <row r="10" spans="2:22" ht="15.75" thickBot="1">
      <c r="C10" s="4" t="s">
        <v>160</v>
      </c>
      <c r="D10" s="24"/>
      <c r="E10" s="5">
        <f>100-E9</f>
        <v>61.111111111111107</v>
      </c>
    </row>
    <row r="11" spans="2:22" ht="15.75" thickBot="1">
      <c r="C11" s="46" t="s">
        <v>162</v>
      </c>
      <c r="D11" s="36"/>
      <c r="E11" s="35"/>
    </row>
    <row r="12" spans="2:22" ht="15.75" thickBot="1">
      <c r="C12" s="47" t="s">
        <v>163</v>
      </c>
      <c r="D12" s="23"/>
      <c r="E12" s="3">
        <f>6/7*100</f>
        <v>85.714285714285708</v>
      </c>
      <c r="P12" s="156" t="s">
        <v>167</v>
      </c>
      <c r="Q12" s="157"/>
      <c r="R12" s="158"/>
    </row>
    <row r="13" spans="2:22" ht="15.75" thickBot="1">
      <c r="C13" s="45" t="s">
        <v>166</v>
      </c>
      <c r="D13" s="24"/>
      <c r="E13" s="5">
        <f>1/7*100</f>
        <v>14.285714285714285</v>
      </c>
      <c r="P13" s="2" t="s">
        <v>159</v>
      </c>
      <c r="Q13" s="23"/>
      <c r="R13" s="3">
        <f>1/7*100</f>
        <v>14.285714285714285</v>
      </c>
    </row>
    <row r="14" spans="2:22" ht="15.75" thickBot="1">
      <c r="P14" s="2" t="s">
        <v>160</v>
      </c>
      <c r="Q14" s="23"/>
      <c r="R14" s="3">
        <f>6/7*100</f>
        <v>85.714285714285708</v>
      </c>
    </row>
    <row r="15" spans="2:22" ht="15.75" thickBot="1">
      <c r="P15" s="31" t="s">
        <v>164</v>
      </c>
      <c r="Q15" s="32"/>
      <c r="R15" s="20"/>
    </row>
    <row r="16" spans="2:22" ht="15.75" thickBot="1">
      <c r="P16" s="45" t="s">
        <v>163</v>
      </c>
      <c r="Q16" s="24"/>
      <c r="R16" s="5">
        <v>100</v>
      </c>
    </row>
    <row r="17" spans="3:22" ht="15.75" thickBot="1">
      <c r="C17" s="156" t="s">
        <v>161</v>
      </c>
      <c r="D17" s="157"/>
      <c r="E17" s="158"/>
      <c r="I17" s="156" t="s">
        <v>165</v>
      </c>
      <c r="J17" s="157"/>
      <c r="K17" s="158"/>
      <c r="P17" s="48" t="s">
        <v>166</v>
      </c>
      <c r="Q17" s="19"/>
      <c r="R17" s="20">
        <v>0</v>
      </c>
    </row>
    <row r="18" spans="3:22">
      <c r="C18" s="2" t="s">
        <v>159</v>
      </c>
      <c r="D18" s="23"/>
      <c r="E18" s="3">
        <f>100</f>
        <v>100</v>
      </c>
      <c r="I18" s="2" t="s">
        <v>159</v>
      </c>
      <c r="J18" s="23"/>
      <c r="K18" s="3">
        <f>2/7*100</f>
        <v>28.571428571428569</v>
      </c>
    </row>
    <row r="19" spans="3:22" ht="15.75" thickBot="1">
      <c r="C19" s="4" t="s">
        <v>160</v>
      </c>
      <c r="D19" s="23"/>
      <c r="E19" s="3">
        <v>0</v>
      </c>
      <c r="I19" s="2" t="s">
        <v>160</v>
      </c>
      <c r="J19" s="23"/>
      <c r="K19" s="3">
        <f>5/7*100</f>
        <v>71.428571428571431</v>
      </c>
    </row>
    <row r="20" spans="3:22" ht="15.75" thickBot="1">
      <c r="C20" s="39" t="s">
        <v>164</v>
      </c>
      <c r="D20" s="44"/>
      <c r="E20" s="3"/>
      <c r="I20" s="31" t="s">
        <v>164</v>
      </c>
      <c r="J20" s="32"/>
      <c r="K20" s="20"/>
    </row>
    <row r="21" spans="3:22" ht="15.75" thickBot="1">
      <c r="C21" s="45" t="s">
        <v>163</v>
      </c>
      <c r="D21" s="24"/>
      <c r="E21" s="5">
        <v>100</v>
      </c>
      <c r="I21" s="45" t="s">
        <v>163</v>
      </c>
      <c r="J21" s="24"/>
      <c r="K21" s="5">
        <v>50</v>
      </c>
    </row>
    <row r="22" spans="3:22" ht="15.75" thickBot="1">
      <c r="I22" s="48" t="s">
        <v>166</v>
      </c>
      <c r="J22" s="19"/>
      <c r="K22" s="20">
        <v>50</v>
      </c>
    </row>
    <row r="24" spans="3:22" ht="15.75" thickBot="1"/>
    <row r="25" spans="3:22" ht="15.75" thickBot="1">
      <c r="M25" s="37"/>
      <c r="N25" s="163"/>
      <c r="O25" s="175"/>
      <c r="P25" s="175"/>
      <c r="T25" s="13" t="s">
        <v>523</v>
      </c>
      <c r="U25" s="14" t="s">
        <v>524</v>
      </c>
      <c r="V25" s="83" t="s">
        <v>382</v>
      </c>
    </row>
    <row r="26" spans="3:22" ht="15.75" thickBot="1">
      <c r="M26" s="37"/>
      <c r="N26" s="37"/>
      <c r="O26" s="37"/>
      <c r="P26" s="37"/>
      <c r="R26" s="1" t="s">
        <v>525</v>
      </c>
      <c r="S26" s="36"/>
      <c r="T26" s="9">
        <v>100</v>
      </c>
      <c r="U26" s="89">
        <v>28.571428571428569</v>
      </c>
      <c r="V26" s="88">
        <v>14.285714285714285</v>
      </c>
    </row>
    <row r="27" spans="3:22" ht="15.75" thickBot="1">
      <c r="E27" s="16" t="s">
        <v>445</v>
      </c>
      <c r="F27" s="17"/>
      <c r="G27" s="17"/>
      <c r="H27" s="28"/>
      <c r="M27" s="37"/>
      <c r="N27" s="90"/>
      <c r="O27" s="90"/>
      <c r="P27" s="90"/>
      <c r="R27" s="4" t="s">
        <v>526</v>
      </c>
      <c r="S27" s="24"/>
      <c r="T27" s="9">
        <v>0</v>
      </c>
      <c r="U27" s="89">
        <v>71.428571428571431</v>
      </c>
      <c r="V27" s="88">
        <v>85.714285714285708</v>
      </c>
    </row>
    <row r="28" spans="3:22" ht="15.75" thickBot="1">
      <c r="E28" s="76" t="s">
        <v>454</v>
      </c>
      <c r="F28" s="76" t="s">
        <v>455</v>
      </c>
      <c r="G28" s="76"/>
      <c r="H28" s="76"/>
      <c r="M28" s="37"/>
      <c r="N28" s="90"/>
      <c r="O28" s="90"/>
      <c r="P28" s="90"/>
      <c r="R28" s="160" t="s">
        <v>522</v>
      </c>
      <c r="S28" s="162"/>
      <c r="T28" s="167">
        <f>Q46</f>
        <v>2.2886885410853171</v>
      </c>
      <c r="U28" s="168"/>
      <c r="V28" s="84"/>
    </row>
    <row r="29" spans="3:22" ht="15.75" thickBot="1">
      <c r="E29" t="s">
        <v>442</v>
      </c>
      <c r="F29">
        <f>4/4</f>
        <v>1</v>
      </c>
      <c r="M29" s="37"/>
      <c r="N29" s="176"/>
      <c r="O29" s="176"/>
      <c r="P29" s="52"/>
      <c r="R29" s="160" t="s">
        <v>522</v>
      </c>
      <c r="S29" s="162"/>
      <c r="T29" s="85"/>
      <c r="U29" s="171">
        <f>U46</f>
        <v>0.6513389472789296</v>
      </c>
      <c r="V29" s="172"/>
    </row>
    <row r="30" spans="3:22" ht="15.75" thickBot="1">
      <c r="E30" t="s">
        <v>443</v>
      </c>
      <c r="F30">
        <f>1/7</f>
        <v>0.14285714285714285</v>
      </c>
      <c r="M30" s="37"/>
      <c r="N30" s="37"/>
      <c r="O30" s="176"/>
      <c r="P30" s="176"/>
      <c r="R30" s="160" t="s">
        <v>522</v>
      </c>
      <c r="S30" s="162"/>
      <c r="T30" s="86">
        <f>F38</f>
        <v>2.7464262493023814</v>
      </c>
      <c r="U30" s="87"/>
      <c r="V30" s="88">
        <f>T30</f>
        <v>2.7464262493023814</v>
      </c>
    </row>
    <row r="31" spans="3:22">
      <c r="M31" s="37"/>
      <c r="N31" s="91"/>
      <c r="O31" s="37"/>
      <c r="P31" s="91"/>
    </row>
    <row r="32" spans="3:22">
      <c r="E32" t="s">
        <v>444</v>
      </c>
      <c r="F32">
        <f>5/11</f>
        <v>0.45454545454545453</v>
      </c>
    </row>
    <row r="34" spans="5:21" ht="15.75" thickBot="1">
      <c r="E34" s="50" t="s">
        <v>446</v>
      </c>
      <c r="F34">
        <f>F29-F30</f>
        <v>0.85714285714285721</v>
      </c>
    </row>
    <row r="35" spans="5:21" ht="15.75" thickBot="1">
      <c r="E35" t="s">
        <v>447</v>
      </c>
      <c r="F35">
        <f>((F32*(1-F32))/4)+((F32*(1-F32)/7))</f>
        <v>9.7402597402597393E-2</v>
      </c>
      <c r="P35" s="16" t="s">
        <v>445</v>
      </c>
      <c r="Q35" s="17"/>
      <c r="T35" s="16" t="s">
        <v>445</v>
      </c>
      <c r="U35" s="17"/>
    </row>
    <row r="36" spans="5:21">
      <c r="E36" s="50" t="s">
        <v>447</v>
      </c>
      <c r="F36">
        <f>SQRT(F35)</f>
        <v>0.31209389196617959</v>
      </c>
      <c r="P36" s="76" t="s">
        <v>454</v>
      </c>
      <c r="Q36" s="76" t="s">
        <v>527</v>
      </c>
      <c r="T36" s="76" t="s">
        <v>454</v>
      </c>
      <c r="U36" s="76" t="s">
        <v>527</v>
      </c>
    </row>
    <row r="37" spans="5:21" ht="15.75" thickBot="1">
      <c r="P37" t="s">
        <v>442</v>
      </c>
      <c r="Q37">
        <f>4/4</f>
        <v>1</v>
      </c>
      <c r="T37" t="s">
        <v>442</v>
      </c>
      <c r="U37">
        <f>Q38</f>
        <v>0.2857142857142857</v>
      </c>
    </row>
    <row r="38" spans="5:21" ht="15.75" thickBot="1">
      <c r="E38" s="58" t="s">
        <v>448</v>
      </c>
      <c r="F38" s="12">
        <f>F34/F36</f>
        <v>2.7464262493023814</v>
      </c>
      <c r="G38">
        <f>NORMSDIST(F38)</f>
        <v>0.99698757849209541</v>
      </c>
      <c r="P38" t="s">
        <v>443</v>
      </c>
      <c r="Q38">
        <f>2/7</f>
        <v>0.2857142857142857</v>
      </c>
      <c r="T38" t="s">
        <v>443</v>
      </c>
      <c r="U38">
        <f>F30</f>
        <v>0.14285714285714285</v>
      </c>
    </row>
    <row r="40" spans="5:21">
      <c r="E40" s="50" t="s">
        <v>456</v>
      </c>
      <c r="P40" t="s">
        <v>444</v>
      </c>
      <c r="Q40">
        <f>6/11</f>
        <v>0.54545454545454541</v>
      </c>
      <c r="T40" t="s">
        <v>444</v>
      </c>
      <c r="U40">
        <f>3/14</f>
        <v>0.21428571428571427</v>
      </c>
    </row>
    <row r="41" spans="5:21">
      <c r="E41" s="50" t="s">
        <v>457</v>
      </c>
    </row>
    <row r="42" spans="5:21">
      <c r="P42" s="50" t="s">
        <v>446</v>
      </c>
      <c r="Q42">
        <f>Q37-Q38</f>
        <v>0.7142857142857143</v>
      </c>
      <c r="T42" s="50" t="s">
        <v>446</v>
      </c>
      <c r="U42">
        <f>U37-U38</f>
        <v>0.14285714285714285</v>
      </c>
    </row>
    <row r="43" spans="5:21">
      <c r="P43" t="s">
        <v>447</v>
      </c>
      <c r="Q43">
        <f>((Q40*(1-Q40))/4)+((Q40*(1-Q40)/7))</f>
        <v>9.7402597402597407E-2</v>
      </c>
      <c r="T43" t="s">
        <v>447</v>
      </c>
      <c r="U43">
        <f>((U40*(1-U40))/7)+((U40*(1-U40)/7))</f>
        <v>4.8104956268221574E-2</v>
      </c>
    </row>
    <row r="44" spans="5:21" ht="15.75" thickBot="1">
      <c r="P44" s="50" t="s">
        <v>447</v>
      </c>
      <c r="Q44">
        <f>SQRT(Q43)</f>
        <v>0.31209389196617965</v>
      </c>
      <c r="T44" s="50" t="s">
        <v>447</v>
      </c>
      <c r="U44">
        <f>SQRT(U43)</f>
        <v>0.21932842102249669</v>
      </c>
    </row>
    <row r="45" spans="5:21" ht="15.75" thickBot="1">
      <c r="E45" s="156" t="s">
        <v>458</v>
      </c>
      <c r="F45" s="157"/>
      <c r="G45" s="157"/>
      <c r="H45" s="158"/>
    </row>
    <row r="46" spans="5:21" ht="15.75" thickBot="1">
      <c r="P46" s="58" t="s">
        <v>448</v>
      </c>
      <c r="Q46" s="12">
        <f>Q42/Q44</f>
        <v>2.2886885410853171</v>
      </c>
      <c r="T46" s="58" t="s">
        <v>448</v>
      </c>
      <c r="U46" s="12">
        <f>U42/U44</f>
        <v>0.6513389472789296</v>
      </c>
    </row>
    <row r="47" spans="5:21" ht="15.75" thickBot="1">
      <c r="H47" s="9"/>
      <c r="I47" s="10" t="s">
        <v>17</v>
      </c>
      <c r="J47" s="10" t="s">
        <v>328</v>
      </c>
      <c r="K47" s="20" t="s">
        <v>462</v>
      </c>
    </row>
    <row r="48" spans="5:21">
      <c r="G48" s="173" t="s">
        <v>461</v>
      </c>
      <c r="H48" s="7" t="s">
        <v>459</v>
      </c>
      <c r="I48" s="23">
        <v>4</v>
      </c>
      <c r="J48" s="7">
        <v>1</v>
      </c>
      <c r="K48" s="3">
        <v>5</v>
      </c>
    </row>
    <row r="49" spans="6:11" ht="15.75" thickBot="1">
      <c r="G49" s="174"/>
      <c r="H49" s="7" t="s">
        <v>460</v>
      </c>
      <c r="I49" s="23">
        <v>0</v>
      </c>
      <c r="J49" s="7">
        <v>6</v>
      </c>
      <c r="K49" s="3">
        <v>6</v>
      </c>
    </row>
    <row r="50" spans="6:11" ht="15.75" thickBot="1">
      <c r="H50" s="8" t="s">
        <v>463</v>
      </c>
      <c r="I50" s="24">
        <v>4</v>
      </c>
      <c r="J50" s="8">
        <v>7</v>
      </c>
      <c r="K50" s="5">
        <v>11</v>
      </c>
    </row>
    <row r="51" spans="6:11" ht="15.75" thickBot="1"/>
    <row r="52" spans="6:11" ht="15.75" thickBot="1">
      <c r="F52" s="12" t="s">
        <v>485</v>
      </c>
      <c r="G52" t="s">
        <v>486</v>
      </c>
    </row>
    <row r="53" spans="6:11">
      <c r="H53" s="50" t="s">
        <v>464</v>
      </c>
    </row>
    <row r="54" spans="6:11">
      <c r="H54" t="s">
        <v>465</v>
      </c>
      <c r="I54">
        <f>4/11</f>
        <v>0.36363636363636365</v>
      </c>
    </row>
    <row r="55" spans="6:11">
      <c r="H55" t="s">
        <v>466</v>
      </c>
      <c r="I55">
        <f>7/11</f>
        <v>0.63636363636363635</v>
      </c>
    </row>
    <row r="56" spans="6:11">
      <c r="H56" t="s">
        <v>467</v>
      </c>
      <c r="I56">
        <f>5/11</f>
        <v>0.45454545454545453</v>
      </c>
    </row>
    <row r="57" spans="6:11">
      <c r="H57" t="s">
        <v>468</v>
      </c>
      <c r="I57">
        <f>6/11</f>
        <v>0.54545454545454541</v>
      </c>
    </row>
    <row r="59" spans="6:11">
      <c r="H59" s="50" t="s">
        <v>469</v>
      </c>
    </row>
    <row r="60" spans="6:11">
      <c r="H60" t="s">
        <v>470</v>
      </c>
      <c r="I60">
        <f>4/11</f>
        <v>0.36363636363636365</v>
      </c>
    </row>
    <row r="61" spans="6:11">
      <c r="H61" t="s">
        <v>471</v>
      </c>
      <c r="I61">
        <f>0/11</f>
        <v>0</v>
      </c>
    </row>
    <row r="62" spans="6:11">
      <c r="H62" t="s">
        <v>472</v>
      </c>
      <c r="I62">
        <f>1/11</f>
        <v>9.0909090909090912E-2</v>
      </c>
    </row>
    <row r="63" spans="6:11">
      <c r="H63" t="s">
        <v>473</v>
      </c>
      <c r="I63">
        <f>6/11</f>
        <v>0.54545454545454541</v>
      </c>
    </row>
    <row r="65" spans="8:11">
      <c r="H65" s="50" t="s">
        <v>474</v>
      </c>
    </row>
    <row r="66" spans="8:11">
      <c r="H66" t="s">
        <v>475</v>
      </c>
      <c r="I66">
        <f>5*4/11</f>
        <v>1.8181818181818181</v>
      </c>
    </row>
    <row r="67" spans="8:11">
      <c r="H67" t="s">
        <v>476</v>
      </c>
      <c r="I67">
        <f>4*6/11</f>
        <v>2.1818181818181817</v>
      </c>
    </row>
    <row r="68" spans="8:11">
      <c r="H68" t="s">
        <v>477</v>
      </c>
      <c r="I68">
        <f>5*J50/K50</f>
        <v>3.1818181818181817</v>
      </c>
    </row>
    <row r="69" spans="8:11">
      <c r="H69" t="s">
        <v>478</v>
      </c>
      <c r="I69">
        <f>7*6/11</f>
        <v>3.8181818181818183</v>
      </c>
    </row>
    <row r="70" spans="8:11" ht="15.75" thickBot="1"/>
    <row r="71" spans="8:11" ht="15.75" thickBot="1">
      <c r="I71" s="156" t="s">
        <v>479</v>
      </c>
      <c r="J71" s="158"/>
      <c r="K71" s="18">
        <f>I72+I73+I74+I75</f>
        <v>8.947619047619046</v>
      </c>
    </row>
    <row r="72" spans="8:11">
      <c r="I72">
        <f>((I48-I66)*(I48-I66))/I66</f>
        <v>2.6181818181818177</v>
      </c>
    </row>
    <row r="73" spans="8:11">
      <c r="I73">
        <f>((J48-I68)*(J48-I68))/I68</f>
        <v>1.4961038961038959</v>
      </c>
    </row>
    <row r="74" spans="8:11">
      <c r="I74">
        <f>((I49-I67)*(I49-I67))/I67</f>
        <v>2.1818181818181817</v>
      </c>
    </row>
    <row r="75" spans="8:11">
      <c r="I75">
        <f>((J50-I69)*(J50-I69))/I69</f>
        <v>2.6515151515151514</v>
      </c>
    </row>
  </sheetData>
  <mergeCells count="18">
    <mergeCell ref="E45:H45"/>
    <mergeCell ref="G48:G49"/>
    <mergeCell ref="I71:J71"/>
    <mergeCell ref="C3:F3"/>
    <mergeCell ref="H3:N3"/>
    <mergeCell ref="N25:P25"/>
    <mergeCell ref="N29:O29"/>
    <mergeCell ref="O30:P30"/>
    <mergeCell ref="P3:V3"/>
    <mergeCell ref="U29:V29"/>
    <mergeCell ref="R29:S29"/>
    <mergeCell ref="R30:S30"/>
    <mergeCell ref="C1:D1"/>
    <mergeCell ref="C17:E17"/>
    <mergeCell ref="I17:K17"/>
    <mergeCell ref="P12:R12"/>
    <mergeCell ref="T28:U28"/>
    <mergeCell ref="R28:S2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1:AV41"/>
  <sheetViews>
    <sheetView topLeftCell="AE1" workbookViewId="0">
      <selection activeCell="R5" sqref="R5:AA5"/>
    </sheetView>
  </sheetViews>
  <sheetFormatPr baseColWidth="10" defaultRowHeight="15"/>
  <cols>
    <col min="22" max="22" width="13.7109375" customWidth="1"/>
    <col min="27" max="27" width="19.85546875" customWidth="1"/>
    <col min="47" max="47" width="15.7109375" customWidth="1"/>
  </cols>
  <sheetData>
    <row r="1" spans="2:48" ht="15.75" thickBot="1">
      <c r="B1" t="s">
        <v>111</v>
      </c>
    </row>
    <row r="2" spans="2:48" ht="15.75" thickBot="1">
      <c r="D2" s="156" t="s">
        <v>20</v>
      </c>
      <c r="E2" s="157"/>
      <c r="F2" s="157"/>
      <c r="G2" s="158"/>
    </row>
    <row r="3" spans="2:48" ht="15.75" thickBot="1">
      <c r="D3" s="10" t="s">
        <v>13</v>
      </c>
      <c r="E3" s="10" t="s">
        <v>15</v>
      </c>
      <c r="F3" s="10" t="s">
        <v>16</v>
      </c>
      <c r="G3" s="15" t="s">
        <v>18</v>
      </c>
      <c r="R3" s="156" t="s">
        <v>28</v>
      </c>
      <c r="S3" s="157"/>
      <c r="T3" s="157"/>
      <c r="U3" s="157"/>
      <c r="V3" s="157"/>
      <c r="W3" s="157"/>
      <c r="X3" s="157"/>
      <c r="Y3" s="157"/>
      <c r="Z3" s="157"/>
      <c r="AA3" s="158"/>
      <c r="AH3" s="156" t="s">
        <v>29</v>
      </c>
      <c r="AI3" s="157"/>
      <c r="AJ3" s="157"/>
      <c r="AK3" s="157"/>
      <c r="AL3" s="157"/>
      <c r="AM3" s="157"/>
      <c r="AN3" s="157"/>
      <c r="AO3" s="157"/>
      <c r="AP3" s="157"/>
      <c r="AQ3" s="158"/>
      <c r="AR3" s="27"/>
    </row>
    <row r="4" spans="2:48" ht="15.75" thickBot="1">
      <c r="C4" s="6" t="s">
        <v>112</v>
      </c>
      <c r="D4" s="1">
        <v>2</v>
      </c>
      <c r="E4" s="36">
        <v>2</v>
      </c>
      <c r="F4" s="36">
        <v>2</v>
      </c>
      <c r="G4" s="35">
        <v>2</v>
      </c>
      <c r="R4" s="10" t="s">
        <v>21</v>
      </c>
      <c r="S4" s="15" t="s">
        <v>22</v>
      </c>
      <c r="T4" s="15" t="s">
        <v>23</v>
      </c>
      <c r="U4" s="15"/>
      <c r="V4" s="15" t="s">
        <v>24</v>
      </c>
      <c r="W4" s="15" t="s">
        <v>25</v>
      </c>
      <c r="X4" s="177" t="s">
        <v>26</v>
      </c>
      <c r="Y4" s="178"/>
      <c r="Z4" s="178"/>
      <c r="AA4" s="15" t="s">
        <v>27</v>
      </c>
      <c r="AH4" s="160" t="s">
        <v>30</v>
      </c>
      <c r="AI4" s="161"/>
      <c r="AJ4" s="162"/>
      <c r="AK4" s="10" t="s">
        <v>31</v>
      </c>
      <c r="AL4" s="19" t="s">
        <v>32</v>
      </c>
      <c r="AM4" s="10" t="s">
        <v>33</v>
      </c>
      <c r="AN4" s="19" t="s">
        <v>34</v>
      </c>
      <c r="AO4" s="10" t="s">
        <v>35</v>
      </c>
      <c r="AP4" s="160" t="s">
        <v>36</v>
      </c>
      <c r="AQ4" s="161"/>
      <c r="AR4" s="162"/>
    </row>
    <row r="5" spans="2:48">
      <c r="C5" s="7" t="s">
        <v>113</v>
      </c>
      <c r="D5" s="2"/>
      <c r="E5" s="23"/>
      <c r="F5" s="23"/>
      <c r="G5" s="3"/>
      <c r="Q5" s="6" t="s">
        <v>112</v>
      </c>
      <c r="R5" s="6">
        <v>1</v>
      </c>
      <c r="S5" s="6">
        <v>1</v>
      </c>
      <c r="T5" s="1">
        <v>1</v>
      </c>
      <c r="U5" s="35">
        <v>1</v>
      </c>
      <c r="V5" s="6">
        <v>1</v>
      </c>
      <c r="W5" s="41">
        <v>1</v>
      </c>
      <c r="X5" s="36">
        <v>1</v>
      </c>
      <c r="Y5" s="36">
        <v>1</v>
      </c>
      <c r="Z5" s="36">
        <v>1</v>
      </c>
      <c r="AA5" s="6">
        <v>2</v>
      </c>
      <c r="AG5" s="6" t="s">
        <v>112</v>
      </c>
      <c r="AH5" s="1">
        <v>1</v>
      </c>
      <c r="AI5" s="36">
        <v>1</v>
      </c>
      <c r="AJ5" s="35">
        <v>1</v>
      </c>
      <c r="AK5" s="6">
        <v>1</v>
      </c>
      <c r="AL5" s="36">
        <v>1</v>
      </c>
      <c r="AM5" s="6">
        <v>2</v>
      </c>
      <c r="AN5" s="36">
        <v>1</v>
      </c>
      <c r="AO5" s="6">
        <v>2</v>
      </c>
      <c r="AP5" s="1">
        <v>1</v>
      </c>
      <c r="AQ5" s="36">
        <v>1</v>
      </c>
      <c r="AR5" s="35">
        <v>1</v>
      </c>
    </row>
    <row r="6" spans="2:48">
      <c r="C6" s="7" t="s">
        <v>114</v>
      </c>
      <c r="D6" s="2"/>
      <c r="E6" s="23"/>
      <c r="F6" s="23"/>
      <c r="G6" s="3"/>
      <c r="Q6" s="7" t="s">
        <v>113</v>
      </c>
      <c r="R6" s="7">
        <v>1</v>
      </c>
      <c r="S6" s="7">
        <v>1</v>
      </c>
      <c r="T6" s="2">
        <v>1</v>
      </c>
      <c r="U6" s="3">
        <v>1</v>
      </c>
      <c r="V6" s="7">
        <v>1</v>
      </c>
      <c r="W6" s="42">
        <v>1</v>
      </c>
      <c r="X6" s="23">
        <v>1</v>
      </c>
      <c r="Y6" s="23">
        <v>1</v>
      </c>
      <c r="Z6" s="23">
        <v>1</v>
      </c>
      <c r="AA6" s="7"/>
      <c r="AG6" s="7" t="s">
        <v>113</v>
      </c>
      <c r="AH6" s="2">
        <v>1</v>
      </c>
      <c r="AI6" s="23">
        <v>1</v>
      </c>
      <c r="AJ6" s="3">
        <v>1</v>
      </c>
      <c r="AK6" s="7">
        <v>1</v>
      </c>
      <c r="AL6" s="23">
        <v>1</v>
      </c>
      <c r="AM6" s="7"/>
      <c r="AN6" s="23">
        <v>1</v>
      </c>
      <c r="AO6" s="7"/>
      <c r="AP6" s="2">
        <v>1</v>
      </c>
      <c r="AQ6" s="23">
        <v>1</v>
      </c>
      <c r="AR6" s="3">
        <v>1</v>
      </c>
    </row>
    <row r="7" spans="2:48" ht="15.75" thickBot="1">
      <c r="C7" s="7" t="s">
        <v>115</v>
      </c>
      <c r="D7" s="2"/>
      <c r="E7" s="23"/>
      <c r="F7" s="23"/>
      <c r="G7" s="3"/>
      <c r="Q7" s="7" t="s">
        <v>114</v>
      </c>
      <c r="R7" s="7">
        <v>1</v>
      </c>
      <c r="S7" s="7">
        <v>6</v>
      </c>
      <c r="T7" s="2">
        <v>1</v>
      </c>
      <c r="U7" s="3">
        <v>1</v>
      </c>
      <c r="V7" s="7">
        <v>1</v>
      </c>
      <c r="W7" s="42">
        <v>1</v>
      </c>
      <c r="X7" s="23">
        <v>1</v>
      </c>
      <c r="Y7" s="23">
        <v>1</v>
      </c>
      <c r="Z7" s="23">
        <v>6</v>
      </c>
      <c r="AA7" s="7"/>
      <c r="AG7" s="7" t="s">
        <v>114</v>
      </c>
      <c r="AH7" s="2">
        <v>1</v>
      </c>
      <c r="AI7" s="23">
        <v>1</v>
      </c>
      <c r="AJ7" s="3">
        <v>1</v>
      </c>
      <c r="AK7" s="7">
        <v>1</v>
      </c>
      <c r="AL7" s="23">
        <v>1</v>
      </c>
      <c r="AM7" s="7"/>
      <c r="AN7" s="23">
        <v>1</v>
      </c>
      <c r="AO7" s="7"/>
      <c r="AP7" s="2">
        <v>1</v>
      </c>
      <c r="AQ7" s="23">
        <v>1</v>
      </c>
      <c r="AR7" s="3">
        <v>1</v>
      </c>
    </row>
    <row r="8" spans="2:48" ht="15.75" thickBot="1">
      <c r="C8" s="7" t="s">
        <v>116</v>
      </c>
      <c r="D8" s="2"/>
      <c r="E8" s="23"/>
      <c r="F8" s="23"/>
      <c r="G8" s="3"/>
      <c r="Q8" s="7" t="s">
        <v>120</v>
      </c>
      <c r="R8" s="7">
        <v>500</v>
      </c>
      <c r="S8" s="7">
        <v>1200</v>
      </c>
      <c r="T8" s="2">
        <v>600</v>
      </c>
      <c r="U8" s="3">
        <v>300</v>
      </c>
      <c r="V8" s="7">
        <v>120</v>
      </c>
      <c r="W8" s="42">
        <v>630</v>
      </c>
      <c r="X8" s="23">
        <v>1200</v>
      </c>
      <c r="Y8" s="23">
        <v>50</v>
      </c>
      <c r="Z8" s="23">
        <v>2500</v>
      </c>
      <c r="AA8" s="7"/>
      <c r="AG8" s="7" t="s">
        <v>120</v>
      </c>
      <c r="AH8" s="2">
        <v>3000</v>
      </c>
      <c r="AI8" s="23">
        <v>500</v>
      </c>
      <c r="AJ8" s="3">
        <v>300</v>
      </c>
      <c r="AK8" s="7">
        <v>150</v>
      </c>
      <c r="AL8" s="23">
        <v>2000</v>
      </c>
      <c r="AM8" s="7"/>
      <c r="AN8" s="23">
        <v>50</v>
      </c>
      <c r="AO8" s="7"/>
      <c r="AP8" s="2">
        <v>200</v>
      </c>
      <c r="AQ8" s="23">
        <v>200</v>
      </c>
      <c r="AR8" s="3">
        <v>50</v>
      </c>
      <c r="AT8" s="156" t="s">
        <v>131</v>
      </c>
      <c r="AU8" s="157"/>
      <c r="AV8" s="158"/>
    </row>
    <row r="9" spans="2:48">
      <c r="C9" s="7" t="s">
        <v>117</v>
      </c>
      <c r="D9" s="2">
        <v>1.2</v>
      </c>
      <c r="E9" s="23">
        <v>1.2</v>
      </c>
      <c r="F9" s="23">
        <v>1</v>
      </c>
      <c r="G9" s="3">
        <v>1</v>
      </c>
      <c r="Q9" s="7" t="s">
        <v>115</v>
      </c>
      <c r="R9" s="7">
        <v>1</v>
      </c>
      <c r="S9" s="7">
        <v>4</v>
      </c>
      <c r="T9" s="2">
        <v>1</v>
      </c>
      <c r="U9" s="3">
        <v>4</v>
      </c>
      <c r="V9" s="7">
        <v>1</v>
      </c>
      <c r="W9" s="42">
        <v>1</v>
      </c>
      <c r="X9" s="23">
        <v>1</v>
      </c>
      <c r="Y9" s="23">
        <v>1</v>
      </c>
      <c r="Z9" s="23">
        <v>4</v>
      </c>
      <c r="AA9" s="7"/>
      <c r="AG9" s="7" t="s">
        <v>115</v>
      </c>
      <c r="AH9" s="2">
        <v>1</v>
      </c>
      <c r="AI9" s="23">
        <v>1</v>
      </c>
      <c r="AJ9" s="3">
        <v>1</v>
      </c>
      <c r="AK9" s="7">
        <v>1</v>
      </c>
      <c r="AL9" s="23">
        <v>1</v>
      </c>
      <c r="AM9" s="7"/>
      <c r="AN9" s="23">
        <v>1</v>
      </c>
      <c r="AO9" s="7"/>
      <c r="AP9" s="2">
        <v>1</v>
      </c>
      <c r="AQ9" s="23">
        <v>1</v>
      </c>
      <c r="AR9" s="3">
        <v>1</v>
      </c>
      <c r="AT9" s="1" t="s">
        <v>130</v>
      </c>
      <c r="AU9" s="36"/>
      <c r="AV9" s="6">
        <f>5/7*100</f>
        <v>71.428571428571431</v>
      </c>
    </row>
    <row r="10" spans="2:48">
      <c r="C10" s="7" t="s">
        <v>118</v>
      </c>
      <c r="D10" s="2">
        <v>1</v>
      </c>
      <c r="E10" s="23"/>
      <c r="F10" s="23"/>
      <c r="G10" s="3"/>
      <c r="Q10" s="7" t="s">
        <v>116</v>
      </c>
      <c r="R10" s="7" t="s">
        <v>127</v>
      </c>
      <c r="S10" s="7">
        <v>1</v>
      </c>
      <c r="T10" s="2" t="s">
        <v>124</v>
      </c>
      <c r="U10" s="3" t="s">
        <v>124</v>
      </c>
      <c r="V10" s="7">
        <v>2</v>
      </c>
      <c r="W10" s="42" t="s">
        <v>124</v>
      </c>
      <c r="X10" s="23"/>
      <c r="Y10" s="23"/>
      <c r="Z10" s="23"/>
      <c r="AA10" s="7"/>
      <c r="AG10" s="7" t="s">
        <v>116</v>
      </c>
      <c r="AH10" s="2"/>
      <c r="AI10" s="23"/>
      <c r="AJ10" s="3"/>
      <c r="AK10" s="7"/>
      <c r="AL10" s="23" t="s">
        <v>127</v>
      </c>
      <c r="AM10" s="7"/>
      <c r="AN10" s="23"/>
      <c r="AO10" s="7"/>
      <c r="AP10" s="2" t="s">
        <v>127</v>
      </c>
      <c r="AQ10" s="23" t="s">
        <v>127</v>
      </c>
      <c r="AR10" s="3" t="s">
        <v>141</v>
      </c>
      <c r="AT10" s="2" t="s">
        <v>132</v>
      </c>
      <c r="AU10" s="23"/>
      <c r="AV10" s="7">
        <f>(1+1+3+0+1+3+0)/5</f>
        <v>1.8</v>
      </c>
    </row>
    <row r="11" spans="2:48" ht="15.75" thickBot="1">
      <c r="C11" s="8" t="s">
        <v>119</v>
      </c>
      <c r="D11" s="4">
        <v>10000</v>
      </c>
      <c r="E11" s="24"/>
      <c r="F11" s="24"/>
      <c r="G11" s="5"/>
      <c r="Q11" s="7" t="s">
        <v>117</v>
      </c>
      <c r="R11" s="7"/>
      <c r="S11" s="7"/>
      <c r="T11" s="2"/>
      <c r="U11" s="3"/>
      <c r="V11" s="7"/>
      <c r="W11" s="42"/>
      <c r="X11" s="23"/>
      <c r="Y11" s="23"/>
      <c r="Z11" s="23"/>
      <c r="AA11" s="7" t="s">
        <v>129</v>
      </c>
      <c r="AG11" s="7" t="s">
        <v>117</v>
      </c>
      <c r="AH11" s="2"/>
      <c r="AI11" s="23"/>
      <c r="AJ11" s="3"/>
      <c r="AK11" s="7"/>
      <c r="AL11" s="23"/>
      <c r="AM11" s="7"/>
      <c r="AN11" s="23"/>
      <c r="AO11" s="7"/>
      <c r="AP11" s="2"/>
      <c r="AQ11" s="23"/>
      <c r="AR11" s="3"/>
      <c r="AT11" s="2" t="s">
        <v>133</v>
      </c>
      <c r="AU11" s="23"/>
      <c r="AV11" s="7">
        <f>(SUM(AH8:AR8))/9</f>
        <v>716.66666666666663</v>
      </c>
    </row>
    <row r="12" spans="2:48">
      <c r="Q12" s="7" t="s">
        <v>118</v>
      </c>
      <c r="R12" s="7"/>
      <c r="S12" s="7">
        <v>1</v>
      </c>
      <c r="T12" s="2">
        <v>2</v>
      </c>
      <c r="U12" s="3">
        <v>2</v>
      </c>
      <c r="V12" s="7">
        <v>2</v>
      </c>
      <c r="W12" s="42"/>
      <c r="X12" s="23"/>
      <c r="Y12" s="23"/>
      <c r="Z12" s="23"/>
      <c r="AA12" s="7"/>
      <c r="AG12" s="7" t="s">
        <v>118</v>
      </c>
      <c r="AH12" s="2">
        <v>2</v>
      </c>
      <c r="AI12" s="23">
        <v>2</v>
      </c>
      <c r="AJ12" s="3">
        <v>2</v>
      </c>
      <c r="AK12" s="7">
        <v>2</v>
      </c>
      <c r="AL12" s="23">
        <v>2</v>
      </c>
      <c r="AM12" s="7">
        <v>2</v>
      </c>
      <c r="AN12" s="23">
        <v>2</v>
      </c>
      <c r="AO12" s="7"/>
      <c r="AP12" s="2">
        <v>2</v>
      </c>
      <c r="AQ12" s="23">
        <v>2</v>
      </c>
      <c r="AR12" s="3">
        <v>2</v>
      </c>
      <c r="AT12" s="2" t="s">
        <v>134</v>
      </c>
      <c r="AU12" s="23"/>
      <c r="AV12" s="7">
        <v>100</v>
      </c>
    </row>
    <row r="13" spans="2:48" ht="15.75" thickBot="1">
      <c r="Q13" s="8" t="s">
        <v>119</v>
      </c>
      <c r="R13" s="8"/>
      <c r="S13" s="8">
        <v>1020</v>
      </c>
      <c r="T13" s="4"/>
      <c r="U13" s="5"/>
      <c r="V13" s="8"/>
      <c r="W13" s="43"/>
      <c r="X13" s="24"/>
      <c r="Y13" s="24"/>
      <c r="Z13" s="24"/>
      <c r="AA13" s="8"/>
      <c r="AG13" s="8" t="s">
        <v>119</v>
      </c>
      <c r="AH13" s="4"/>
      <c r="AI13" s="24"/>
      <c r="AJ13" s="5"/>
      <c r="AK13" s="8"/>
      <c r="AL13" s="24"/>
      <c r="AM13" s="8"/>
      <c r="AN13" s="24"/>
      <c r="AO13" s="8"/>
      <c r="AP13" s="4"/>
      <c r="AQ13" s="24"/>
      <c r="AR13" s="5"/>
      <c r="AT13" s="2" t="s">
        <v>135</v>
      </c>
      <c r="AU13" s="23"/>
      <c r="AV13" s="7">
        <v>0</v>
      </c>
    </row>
    <row r="14" spans="2:48" ht="15.75" thickBot="1">
      <c r="AT14" s="2" t="s">
        <v>64</v>
      </c>
      <c r="AU14" s="23"/>
      <c r="AV14" s="7">
        <f>AV13+AV12</f>
        <v>100</v>
      </c>
    </row>
    <row r="15" spans="2:48" ht="15.75" thickBot="1">
      <c r="C15" s="37"/>
      <c r="D15" s="163"/>
      <c r="E15" s="163"/>
      <c r="F15" s="163"/>
      <c r="G15" s="163"/>
      <c r="H15" s="163"/>
      <c r="I15" s="163"/>
      <c r="J15" s="163"/>
      <c r="K15" s="163"/>
      <c r="L15" s="163"/>
      <c r="R15" t="s">
        <v>128</v>
      </c>
      <c r="Z15" s="156" t="s">
        <v>131</v>
      </c>
      <c r="AA15" s="157"/>
      <c r="AB15" s="158"/>
      <c r="AH15" t="s">
        <v>147</v>
      </c>
      <c r="AT15" s="2" t="s">
        <v>136</v>
      </c>
      <c r="AU15" s="23"/>
      <c r="AV15" s="7">
        <f>(5/7)*100</f>
        <v>71.428571428571431</v>
      </c>
    </row>
    <row r="16" spans="2:48" ht="15.75" thickBot="1">
      <c r="C16" s="156" t="s">
        <v>148</v>
      </c>
      <c r="D16" s="157"/>
      <c r="E16" s="158"/>
      <c r="F16" s="37"/>
      <c r="G16" s="37"/>
      <c r="H16" s="37"/>
      <c r="I16" s="163"/>
      <c r="J16" s="163"/>
      <c r="K16" s="163"/>
      <c r="L16" s="37"/>
      <c r="R16" t="s">
        <v>122</v>
      </c>
      <c r="Z16" s="1" t="s">
        <v>130</v>
      </c>
      <c r="AA16" s="36"/>
      <c r="AB16" s="6">
        <f>6/7*100</f>
        <v>85.714285714285708</v>
      </c>
      <c r="AH16" t="s">
        <v>146</v>
      </c>
      <c r="AT16" s="2" t="s">
        <v>140</v>
      </c>
      <c r="AU16" s="23"/>
      <c r="AV16" s="7">
        <f>(0/7)*100</f>
        <v>0</v>
      </c>
    </row>
    <row r="17" spans="3:48">
      <c r="C17" s="1" t="s">
        <v>130</v>
      </c>
      <c r="D17" s="36"/>
      <c r="E17" s="6">
        <f>11/18*100</f>
        <v>61.111111111111114</v>
      </c>
      <c r="F17" s="37"/>
      <c r="G17" s="37" t="s">
        <v>149</v>
      </c>
      <c r="H17" s="37"/>
      <c r="I17" s="37"/>
      <c r="J17" s="37">
        <f>R8+T8+V8+W8+X8+Y8+AH8+AI8+AJ8+AK8+AL8+AN8+AP8+AQ8+AR8</f>
        <v>9550</v>
      </c>
      <c r="K17" s="37"/>
      <c r="L17" s="37"/>
      <c r="R17" t="s">
        <v>123</v>
      </c>
      <c r="Z17" s="2" t="s">
        <v>132</v>
      </c>
      <c r="AA17" s="23"/>
      <c r="AB17" s="7">
        <f>(1+1+2+1+1+3+0)/6</f>
        <v>1.5</v>
      </c>
      <c r="AH17" t="s">
        <v>143</v>
      </c>
      <c r="AT17" s="39" t="s">
        <v>137</v>
      </c>
      <c r="AU17" s="23"/>
      <c r="AV17" s="7"/>
    </row>
    <row r="18" spans="3:48">
      <c r="C18" s="2" t="s">
        <v>132</v>
      </c>
      <c r="D18" s="23"/>
      <c r="E18" s="7">
        <f>18/18</f>
        <v>1</v>
      </c>
      <c r="F18" s="37"/>
      <c r="G18" s="37" t="s">
        <v>150</v>
      </c>
      <c r="H18" s="37"/>
      <c r="I18" s="37"/>
      <c r="J18" s="37">
        <f>S8+U8+Z8</f>
        <v>4000</v>
      </c>
      <c r="K18" s="37"/>
      <c r="L18" s="37"/>
      <c r="R18" t="s">
        <v>125</v>
      </c>
      <c r="Z18" s="2" t="s">
        <v>133</v>
      </c>
      <c r="AA18" s="23"/>
      <c r="AB18" s="7">
        <f>(SUM(R8:Z8))/9</f>
        <v>788.88888888888891</v>
      </c>
      <c r="AT18" s="2" t="s">
        <v>138</v>
      </c>
      <c r="AU18" s="23"/>
      <c r="AV18" s="7">
        <v>100</v>
      </c>
    </row>
    <row r="19" spans="3:48" ht="15.75" thickBot="1">
      <c r="C19" s="2" t="s">
        <v>133</v>
      </c>
      <c r="D19" s="23"/>
      <c r="E19" s="7">
        <f>(AV11+AB18)/2</f>
        <v>752.77777777777783</v>
      </c>
      <c r="F19" s="37"/>
      <c r="G19" s="37" t="s">
        <v>151</v>
      </c>
      <c r="H19" s="37"/>
      <c r="I19" s="37"/>
      <c r="J19" s="37">
        <f>J18+J17</f>
        <v>13550</v>
      </c>
      <c r="K19" s="37"/>
      <c r="L19" s="37"/>
      <c r="R19" t="s">
        <v>126</v>
      </c>
      <c r="Z19" s="2" t="s">
        <v>134</v>
      </c>
      <c r="AA19" s="23"/>
      <c r="AB19" s="7">
        <f>((R8+T8+V8+W8+X8+Y8)/SUM(R8:Z8))*100</f>
        <v>43.661971830985912</v>
      </c>
      <c r="AH19" t="s">
        <v>144</v>
      </c>
      <c r="AT19" s="4" t="s">
        <v>139</v>
      </c>
      <c r="AU19" s="24"/>
      <c r="AV19" s="8">
        <v>0</v>
      </c>
    </row>
    <row r="20" spans="3:48">
      <c r="C20" s="2" t="s">
        <v>134</v>
      </c>
      <c r="D20" s="23"/>
      <c r="E20" s="7">
        <f>(J17/J19)*100</f>
        <v>70.479704797047972</v>
      </c>
      <c r="F20" s="37"/>
      <c r="G20" s="37"/>
      <c r="H20" s="37"/>
      <c r="I20" s="37"/>
      <c r="J20" s="37"/>
      <c r="K20" s="37"/>
      <c r="L20" s="37"/>
      <c r="Z20" s="2" t="s">
        <v>135</v>
      </c>
      <c r="AA20" s="23"/>
      <c r="AB20" s="7">
        <f>((S8+U8+Z8)/SUM(R8:Z8))*100</f>
        <v>56.338028169014088</v>
      </c>
      <c r="AH20" t="s">
        <v>145</v>
      </c>
    </row>
    <row r="21" spans="3:48">
      <c r="C21" s="2" t="s">
        <v>135</v>
      </c>
      <c r="D21" s="23"/>
      <c r="E21" s="7">
        <f>(J18/J19)*100</f>
        <v>29.520295202952028</v>
      </c>
      <c r="F21" s="37"/>
      <c r="G21" s="37"/>
      <c r="H21" s="37"/>
      <c r="I21" s="37"/>
      <c r="J21" s="37"/>
      <c r="K21" s="37"/>
      <c r="L21" s="37"/>
      <c r="Z21" s="2" t="s">
        <v>64</v>
      </c>
      <c r="AA21" s="23"/>
      <c r="AB21" s="7">
        <f>AB20+AB19</f>
        <v>100</v>
      </c>
    </row>
    <row r="22" spans="3:48">
      <c r="C22" s="2" t="s">
        <v>64</v>
      </c>
      <c r="D22" s="23"/>
      <c r="E22" s="7">
        <f>E21+E20</f>
        <v>100</v>
      </c>
      <c r="F22" s="37"/>
      <c r="G22" s="37"/>
      <c r="H22" s="37"/>
      <c r="I22" s="37"/>
      <c r="J22" s="37"/>
      <c r="K22" s="37"/>
      <c r="L22" s="37"/>
      <c r="R22" t="s">
        <v>121</v>
      </c>
      <c r="Z22" s="2" t="s">
        <v>136</v>
      </c>
      <c r="AA22" s="23"/>
      <c r="AB22" s="7">
        <f>(5/7)*100</f>
        <v>71.428571428571431</v>
      </c>
      <c r="AH22" t="s">
        <v>142</v>
      </c>
    </row>
    <row r="23" spans="3:48">
      <c r="C23" s="2" t="s">
        <v>136</v>
      </c>
      <c r="D23" s="23"/>
      <c r="E23" s="7">
        <f>(10/18)*100</f>
        <v>55.555555555555557</v>
      </c>
      <c r="F23" s="37"/>
      <c r="G23" s="37"/>
      <c r="H23" s="37"/>
      <c r="I23" s="37"/>
      <c r="J23" s="37"/>
      <c r="K23" s="37"/>
      <c r="L23" s="37"/>
      <c r="Z23" s="2" t="s">
        <v>140</v>
      </c>
      <c r="AA23" s="23"/>
      <c r="AB23" s="7">
        <f>(3/7)*100</f>
        <v>42.857142857142854</v>
      </c>
    </row>
    <row r="24" spans="3:48">
      <c r="C24" s="2" t="s">
        <v>140</v>
      </c>
      <c r="D24" s="23"/>
      <c r="E24" s="7">
        <f>(3/18)*100</f>
        <v>16.666666666666664</v>
      </c>
      <c r="F24" s="37"/>
      <c r="G24" s="37"/>
      <c r="H24" s="37"/>
      <c r="I24" s="37"/>
      <c r="J24" s="37"/>
      <c r="K24" s="37"/>
      <c r="L24" s="37"/>
      <c r="Z24" s="39" t="s">
        <v>137</v>
      </c>
      <c r="AA24" s="23"/>
      <c r="AB24" s="7"/>
      <c r="AI24" t="s">
        <v>548</v>
      </c>
      <c r="AJ24">
        <f>4/7*100</f>
        <v>57.142857142857139</v>
      </c>
    </row>
    <row r="25" spans="3:48">
      <c r="C25" s="39" t="s">
        <v>137</v>
      </c>
      <c r="D25" s="23"/>
      <c r="E25" s="7"/>
      <c r="F25" s="37"/>
      <c r="G25" s="37"/>
      <c r="H25" s="37"/>
      <c r="I25" s="37"/>
      <c r="J25" s="37"/>
      <c r="K25" s="37"/>
      <c r="L25" s="37"/>
      <c r="Z25" s="2" t="s">
        <v>138</v>
      </c>
      <c r="AA25" s="23"/>
      <c r="AB25" s="7">
        <f>(7/9)*100</f>
        <v>77.777777777777786</v>
      </c>
      <c r="AI25" t="s">
        <v>549</v>
      </c>
    </row>
    <row r="26" spans="3:48" ht="15.75" thickBot="1">
      <c r="C26" s="2" t="s">
        <v>138</v>
      </c>
      <c r="D26" s="23"/>
      <c r="E26" s="7">
        <f>(16/18)*100</f>
        <v>88.888888888888886</v>
      </c>
      <c r="F26" s="37"/>
      <c r="G26" s="37"/>
      <c r="H26" s="37"/>
      <c r="I26" s="37"/>
      <c r="J26" s="37"/>
      <c r="K26" s="37"/>
      <c r="L26" s="37"/>
      <c r="Z26" s="4" t="s">
        <v>139</v>
      </c>
      <c r="AA26" s="24"/>
      <c r="AB26" s="8">
        <f>(2/9)*100</f>
        <v>22.222222222222221</v>
      </c>
    </row>
    <row r="27" spans="3:48" ht="15.75" thickBot="1">
      <c r="C27" s="4" t="s">
        <v>139</v>
      </c>
      <c r="D27" s="24"/>
      <c r="E27" s="8">
        <f>(2/18)*100</f>
        <v>11.111111111111111</v>
      </c>
      <c r="F27" s="37"/>
      <c r="G27" s="37"/>
      <c r="H27" s="37"/>
      <c r="I27" s="37"/>
      <c r="J27" s="37"/>
      <c r="K27" s="37"/>
      <c r="L27" s="37"/>
      <c r="AP27">
        <f>5/14*100</f>
        <v>35.714285714285715</v>
      </c>
    </row>
    <row r="29" spans="3:48" ht="15.75" thickBot="1"/>
    <row r="30" spans="3:48" ht="15.75" thickBot="1">
      <c r="R30" s="179" t="s">
        <v>445</v>
      </c>
      <c r="S30" s="180"/>
      <c r="T30" s="181"/>
      <c r="V30" s="179" t="s">
        <v>445</v>
      </c>
      <c r="W30" s="180"/>
      <c r="X30" s="181"/>
      <c r="Z30" s="179" t="s">
        <v>445</v>
      </c>
      <c r="AA30" s="180"/>
      <c r="AB30" s="181"/>
    </row>
    <row r="31" spans="3:48" ht="15.75" thickBot="1">
      <c r="R31" t="s">
        <v>550</v>
      </c>
      <c r="V31" t="s">
        <v>551</v>
      </c>
      <c r="Z31" t="s">
        <v>552</v>
      </c>
      <c r="AF31" s="13" t="s">
        <v>380</v>
      </c>
      <c r="AG31" s="14" t="s">
        <v>381</v>
      </c>
      <c r="AH31" s="83" t="s">
        <v>382</v>
      </c>
    </row>
    <row r="32" spans="3:48" ht="15.75" thickBot="1">
      <c r="R32" t="s">
        <v>442</v>
      </c>
      <c r="S32">
        <f>0/4</f>
        <v>0</v>
      </c>
      <c r="V32" t="s">
        <v>442</v>
      </c>
      <c r="W32">
        <f>0/4</f>
        <v>0</v>
      </c>
      <c r="Z32" t="s">
        <v>442</v>
      </c>
      <c r="AA32">
        <f>S33</f>
        <v>0.8571428571428571</v>
      </c>
      <c r="AE32" s="13" t="s">
        <v>555</v>
      </c>
      <c r="AF32" s="117" t="s">
        <v>95</v>
      </c>
      <c r="AG32" s="117" t="s">
        <v>95</v>
      </c>
      <c r="AH32" s="107" t="s">
        <v>95</v>
      </c>
    </row>
    <row r="33" spans="18:34" ht="15.75" thickBot="1">
      <c r="R33" t="s">
        <v>443</v>
      </c>
      <c r="S33">
        <f>6/7</f>
        <v>0.8571428571428571</v>
      </c>
      <c r="V33" t="s">
        <v>443</v>
      </c>
      <c r="W33">
        <f>5/7</f>
        <v>0.7142857142857143</v>
      </c>
      <c r="Z33" t="s">
        <v>443</v>
      </c>
      <c r="AA33">
        <f>W33</f>
        <v>0.7142857142857143</v>
      </c>
      <c r="AE33" s="31" t="s">
        <v>554</v>
      </c>
      <c r="AF33" s="121">
        <f>0</f>
        <v>0</v>
      </c>
      <c r="AG33" s="121">
        <f>AB16</f>
        <v>85.714285714285708</v>
      </c>
      <c r="AH33" s="123">
        <f>AV9</f>
        <v>71.428571428571431</v>
      </c>
    </row>
    <row r="34" spans="18:34" ht="15.75" thickBot="1">
      <c r="AE34" s="29" t="s">
        <v>421</v>
      </c>
      <c r="AF34" s="124">
        <f>100-AF33</f>
        <v>100</v>
      </c>
      <c r="AG34" s="124">
        <f t="shared" ref="AG34:AH34" si="0">100-AG33</f>
        <v>14.285714285714292</v>
      </c>
      <c r="AH34" s="124">
        <f t="shared" si="0"/>
        <v>28.571428571428569</v>
      </c>
    </row>
    <row r="35" spans="18:34" ht="15.75" thickBot="1">
      <c r="R35" t="s">
        <v>444</v>
      </c>
      <c r="S35">
        <f>6/11</f>
        <v>0.54545454545454541</v>
      </c>
      <c r="V35" t="s">
        <v>444</v>
      </c>
      <c r="W35">
        <f>5/11</f>
        <v>0.45454545454545453</v>
      </c>
      <c r="Z35" t="s">
        <v>444</v>
      </c>
      <c r="AA35">
        <f>11/14</f>
        <v>0.7857142857142857</v>
      </c>
      <c r="AE35" s="12" t="s">
        <v>529</v>
      </c>
      <c r="AF35" s="167">
        <f>S41</f>
        <v>2.7464262493023806</v>
      </c>
      <c r="AG35" s="168"/>
      <c r="AH35" s="126"/>
    </row>
    <row r="36" spans="18:34" ht="15.75" thickBot="1">
      <c r="AE36" s="12" t="s">
        <v>529</v>
      </c>
      <c r="AF36" s="127"/>
      <c r="AG36" s="171">
        <f>AA41</f>
        <v>0.65133894727892927</v>
      </c>
      <c r="AH36" s="172"/>
    </row>
    <row r="37" spans="18:34" ht="15.75" thickBot="1">
      <c r="R37" t="s">
        <v>446</v>
      </c>
      <c r="S37">
        <f>-(S32-S33)</f>
        <v>0.8571428571428571</v>
      </c>
      <c r="V37" t="s">
        <v>446</v>
      </c>
      <c r="W37">
        <f>-(W32-W33)</f>
        <v>0.7142857142857143</v>
      </c>
      <c r="Z37" t="s">
        <v>446</v>
      </c>
      <c r="AA37">
        <f>(AA32-AA33)</f>
        <v>0.14285714285714279</v>
      </c>
      <c r="AE37" s="12" t="s">
        <v>522</v>
      </c>
      <c r="AF37" s="105">
        <f>S41</f>
        <v>2.7464262493023806</v>
      </c>
      <c r="AG37" s="128"/>
      <c r="AH37" s="106">
        <f>AF37</f>
        <v>2.7464262493023806</v>
      </c>
    </row>
    <row r="38" spans="18:34">
      <c r="R38" t="s">
        <v>447</v>
      </c>
      <c r="S38">
        <f>((S35*(1-S35))/4)+((S35*(1-S35))/7)</f>
        <v>9.7402597402597407E-2</v>
      </c>
      <c r="V38" t="s">
        <v>447</v>
      </c>
      <c r="W38">
        <f>((W35*(1-W35))/4)+((W35*(1-W35))/7)</f>
        <v>9.7402597402597393E-2</v>
      </c>
      <c r="Z38" t="s">
        <v>447</v>
      </c>
      <c r="AA38">
        <f>((AA35*(1-AA35))/7)+((AA35*(1-AA35))/7)</f>
        <v>4.8104956268221581E-2</v>
      </c>
    </row>
    <row r="39" spans="18:34">
      <c r="R39" t="s">
        <v>447</v>
      </c>
      <c r="S39">
        <f>SQRT(S38)</f>
        <v>0.31209389196617965</v>
      </c>
      <c r="V39" t="s">
        <v>447</v>
      </c>
      <c r="W39">
        <f>SQRT(W38)</f>
        <v>0.31209389196617959</v>
      </c>
      <c r="Z39" t="s">
        <v>447</v>
      </c>
      <c r="AA39">
        <f>SQRT(AA38)</f>
        <v>0.21932842102249672</v>
      </c>
    </row>
    <row r="40" spans="18:34" ht="15.75" thickBot="1"/>
    <row r="41" spans="18:34" ht="15.75" thickBot="1">
      <c r="R41" s="80" t="s">
        <v>448</v>
      </c>
      <c r="S41" s="81">
        <f>S37/S39</f>
        <v>2.7464262493023806</v>
      </c>
      <c r="V41" s="80" t="s">
        <v>448</v>
      </c>
      <c r="W41" s="81">
        <f>W37/W39</f>
        <v>2.2886885410853175</v>
      </c>
      <c r="Z41" s="80" t="s">
        <v>448</v>
      </c>
      <c r="AA41" s="81">
        <f>AA37/AA39</f>
        <v>0.65133894727892927</v>
      </c>
    </row>
  </sheetData>
  <mergeCells count="16">
    <mergeCell ref="R30:T30"/>
    <mergeCell ref="V30:X30"/>
    <mergeCell ref="Z30:AB30"/>
    <mergeCell ref="AF35:AG35"/>
    <mergeCell ref="AG36:AH36"/>
    <mergeCell ref="AT8:AV8"/>
    <mergeCell ref="C16:E16"/>
    <mergeCell ref="AH3:AQ3"/>
    <mergeCell ref="AP4:AR4"/>
    <mergeCell ref="D2:G2"/>
    <mergeCell ref="D15:L15"/>
    <mergeCell ref="I16:K16"/>
    <mergeCell ref="R3:AA3"/>
    <mergeCell ref="X4:Z4"/>
    <mergeCell ref="Z15:AB15"/>
    <mergeCell ref="AH4:AJ4"/>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dimension ref="B2:Y89"/>
  <sheetViews>
    <sheetView topLeftCell="I1" workbookViewId="0">
      <selection activeCell="P5" sqref="P5:V5"/>
    </sheetView>
  </sheetViews>
  <sheetFormatPr baseColWidth="10" defaultRowHeight="15"/>
  <cols>
    <col min="2" max="2" width="12.85546875" customWidth="1"/>
    <col min="16" max="17" width="12.5703125" bestFit="1" customWidth="1"/>
    <col min="21" max="21" width="12.5703125" bestFit="1" customWidth="1"/>
  </cols>
  <sheetData>
    <row r="2" spans="2:22" ht="15.75" thickBot="1"/>
    <row r="3" spans="2:22" ht="15.75" thickBot="1">
      <c r="C3" s="156" t="s">
        <v>20</v>
      </c>
      <c r="D3" s="157"/>
      <c r="E3" s="157"/>
      <c r="F3" s="158"/>
      <c r="H3" s="156" t="s">
        <v>28</v>
      </c>
      <c r="I3" s="157"/>
      <c r="J3" s="157"/>
      <c r="K3" s="157"/>
      <c r="L3" s="157"/>
      <c r="M3" s="157"/>
      <c r="N3" s="158"/>
      <c r="P3" s="156" t="s">
        <v>29</v>
      </c>
      <c r="Q3" s="157"/>
      <c r="R3" s="157"/>
      <c r="S3" s="157"/>
      <c r="T3" s="157"/>
      <c r="U3" s="157"/>
      <c r="V3" s="158"/>
    </row>
    <row r="4" spans="2:22" ht="15.75" thickBot="1">
      <c r="C4" s="10" t="s">
        <v>13</v>
      </c>
      <c r="D4" s="10" t="s">
        <v>15</v>
      </c>
      <c r="E4" s="10" t="s">
        <v>16</v>
      </c>
      <c r="F4" s="15" t="s">
        <v>18</v>
      </c>
      <c r="H4" s="10" t="s">
        <v>21</v>
      </c>
      <c r="I4" s="15" t="s">
        <v>22</v>
      </c>
      <c r="J4" s="15" t="s">
        <v>23</v>
      </c>
      <c r="K4" s="15" t="s">
        <v>24</v>
      </c>
      <c r="L4" s="15" t="s">
        <v>25</v>
      </c>
      <c r="M4" s="15" t="s">
        <v>26</v>
      </c>
      <c r="N4" s="15" t="s">
        <v>27</v>
      </c>
      <c r="P4" s="9" t="s">
        <v>30</v>
      </c>
      <c r="Q4" s="10" t="s">
        <v>31</v>
      </c>
      <c r="R4" s="19" t="s">
        <v>32</v>
      </c>
      <c r="S4" s="10" t="s">
        <v>33</v>
      </c>
      <c r="T4" s="19" t="s">
        <v>34</v>
      </c>
      <c r="U4" s="10" t="s">
        <v>35</v>
      </c>
      <c r="V4" s="20" t="s">
        <v>36</v>
      </c>
    </row>
    <row r="5" spans="2:22" ht="15.75" thickBot="1">
      <c r="B5" s="1" t="s">
        <v>168</v>
      </c>
      <c r="C5" s="1">
        <v>1</v>
      </c>
      <c r="D5" s="36">
        <v>1</v>
      </c>
      <c r="E5" s="36">
        <v>1</v>
      </c>
      <c r="F5" s="35">
        <v>1</v>
      </c>
      <c r="H5" s="1">
        <v>1</v>
      </c>
      <c r="I5" s="36">
        <v>1</v>
      </c>
      <c r="J5" s="36">
        <v>1</v>
      </c>
      <c r="K5" s="36">
        <v>1</v>
      </c>
      <c r="L5" s="36">
        <v>1</v>
      </c>
      <c r="M5" s="36">
        <v>1</v>
      </c>
      <c r="N5" s="35">
        <v>1</v>
      </c>
      <c r="P5" s="1">
        <v>1</v>
      </c>
      <c r="Q5" s="36">
        <v>2</v>
      </c>
      <c r="R5" s="36">
        <v>1</v>
      </c>
      <c r="S5" s="36">
        <v>1</v>
      </c>
      <c r="T5" s="36">
        <v>1</v>
      </c>
      <c r="U5" s="36">
        <v>2</v>
      </c>
      <c r="V5" s="35">
        <v>1</v>
      </c>
    </row>
    <row r="6" spans="2:22">
      <c r="B6" s="1" t="s">
        <v>169</v>
      </c>
      <c r="C6" s="2" t="s">
        <v>174</v>
      </c>
      <c r="D6" s="23" t="s">
        <v>173</v>
      </c>
      <c r="E6" s="23" t="s">
        <v>173</v>
      </c>
      <c r="F6" s="3" t="s">
        <v>173</v>
      </c>
      <c r="H6" s="2" t="s">
        <v>173</v>
      </c>
      <c r="I6" s="23" t="s">
        <v>173</v>
      </c>
      <c r="J6" s="23" t="s">
        <v>173</v>
      </c>
      <c r="K6" s="23" t="s">
        <v>173</v>
      </c>
      <c r="L6" s="23" t="s">
        <v>173</v>
      </c>
      <c r="M6" s="23" t="s">
        <v>173</v>
      </c>
      <c r="N6" s="3" t="s">
        <v>173</v>
      </c>
      <c r="P6" s="2" t="s">
        <v>173</v>
      </c>
      <c r="Q6" s="23"/>
      <c r="R6" s="23" t="s">
        <v>173</v>
      </c>
      <c r="S6" s="23" t="s">
        <v>173</v>
      </c>
      <c r="T6" s="23" t="s">
        <v>173</v>
      </c>
      <c r="U6" s="23"/>
      <c r="V6" s="3" t="s">
        <v>173</v>
      </c>
    </row>
    <row r="7" spans="2:22">
      <c r="B7" s="2"/>
      <c r="C7" s="2" t="s">
        <v>175</v>
      </c>
      <c r="D7" s="23" t="s">
        <v>178</v>
      </c>
      <c r="E7" s="23" t="s">
        <v>178</v>
      </c>
      <c r="F7" s="3" t="s">
        <v>178</v>
      </c>
      <c r="H7" s="2"/>
      <c r="I7" s="23" t="s">
        <v>178</v>
      </c>
      <c r="J7" s="23" t="s">
        <v>178</v>
      </c>
      <c r="K7" s="23" t="s">
        <v>178</v>
      </c>
      <c r="L7" s="23"/>
      <c r="M7" s="23"/>
      <c r="N7" s="3"/>
      <c r="P7" s="2"/>
      <c r="Q7" s="23"/>
      <c r="R7" s="23" t="s">
        <v>187</v>
      </c>
      <c r="S7" s="23"/>
      <c r="T7" s="23"/>
      <c r="U7" s="23"/>
      <c r="V7" s="3"/>
    </row>
    <row r="8" spans="2:22" ht="15.75" thickBot="1">
      <c r="B8" s="4"/>
      <c r="C8" s="2" t="s">
        <v>176</v>
      </c>
      <c r="D8" s="23" t="s">
        <v>75</v>
      </c>
      <c r="E8" s="23" t="s">
        <v>75</v>
      </c>
      <c r="F8" s="3"/>
      <c r="H8" s="2"/>
      <c r="I8" s="23" t="s">
        <v>155</v>
      </c>
      <c r="J8" s="23" t="s">
        <v>182</v>
      </c>
      <c r="K8" s="23"/>
      <c r="L8" s="23"/>
      <c r="M8" s="23" t="s">
        <v>75</v>
      </c>
      <c r="N8" s="3"/>
      <c r="P8" s="2"/>
      <c r="Q8" s="23"/>
      <c r="R8" s="23"/>
      <c r="S8" s="23"/>
      <c r="T8" s="23"/>
      <c r="U8" s="23"/>
      <c r="V8" s="3"/>
    </row>
    <row r="9" spans="2:22" ht="15.75" thickBot="1">
      <c r="B9" s="2" t="s">
        <v>170</v>
      </c>
      <c r="C9" s="2"/>
      <c r="D9" s="23"/>
      <c r="E9" s="23"/>
      <c r="F9" s="3">
        <v>3</v>
      </c>
      <c r="H9" s="2"/>
      <c r="I9" s="23">
        <v>3</v>
      </c>
      <c r="J9" s="23" t="s">
        <v>183</v>
      </c>
      <c r="K9" s="23"/>
      <c r="L9" s="23"/>
      <c r="M9" s="23">
        <v>3</v>
      </c>
      <c r="N9" s="3">
        <v>3</v>
      </c>
      <c r="P9" s="2">
        <v>3</v>
      </c>
      <c r="Q9" s="23"/>
      <c r="R9" s="23">
        <v>3</v>
      </c>
      <c r="S9" s="23"/>
      <c r="T9" s="23">
        <v>3</v>
      </c>
      <c r="U9" s="23"/>
      <c r="V9" s="3">
        <v>3</v>
      </c>
    </row>
    <row r="10" spans="2:22" ht="15.75" thickBot="1">
      <c r="B10" s="9" t="s">
        <v>171</v>
      </c>
      <c r="C10" s="2" t="s">
        <v>177</v>
      </c>
      <c r="D10" s="23"/>
      <c r="E10" s="23"/>
      <c r="F10" s="3"/>
      <c r="H10" s="2" t="s">
        <v>177</v>
      </c>
      <c r="I10" s="23" t="s">
        <v>177</v>
      </c>
      <c r="J10" s="23" t="s">
        <v>177</v>
      </c>
      <c r="K10" s="23" t="s">
        <v>177</v>
      </c>
      <c r="L10" s="23"/>
      <c r="M10" s="23"/>
      <c r="N10" s="3"/>
      <c r="P10" s="2">
        <v>2.2999999999999998</v>
      </c>
      <c r="Q10" s="23"/>
      <c r="R10" s="23"/>
      <c r="S10" s="23">
        <v>2.2999999999999998</v>
      </c>
      <c r="T10" s="23">
        <v>2.2999999999999998</v>
      </c>
      <c r="U10" s="23"/>
      <c r="V10" s="3"/>
    </row>
    <row r="11" spans="2:22" ht="15.75" thickBot="1">
      <c r="B11" s="4" t="s">
        <v>172</v>
      </c>
      <c r="C11" s="2"/>
      <c r="D11" s="23"/>
      <c r="E11" s="23"/>
      <c r="F11" s="3"/>
      <c r="H11" s="2"/>
      <c r="I11" s="23"/>
      <c r="J11" s="23"/>
      <c r="K11" s="23"/>
      <c r="L11" s="23"/>
      <c r="M11" s="23"/>
      <c r="N11" s="3"/>
      <c r="P11" s="2"/>
      <c r="Q11" s="23" t="s">
        <v>190</v>
      </c>
      <c r="R11" s="23"/>
      <c r="S11" s="23"/>
      <c r="T11" s="23"/>
      <c r="U11" s="23" t="s">
        <v>189</v>
      </c>
      <c r="V11" s="3"/>
    </row>
    <row r="12" spans="2:22">
      <c r="B12" s="47" t="s">
        <v>181</v>
      </c>
      <c r="C12" s="2">
        <v>25000</v>
      </c>
      <c r="D12" s="23" t="s">
        <v>179</v>
      </c>
      <c r="E12" s="23" t="s">
        <v>179</v>
      </c>
      <c r="F12" s="3"/>
      <c r="H12" s="2"/>
      <c r="I12" s="23" t="s">
        <v>180</v>
      </c>
      <c r="J12" s="23">
        <v>1200</v>
      </c>
      <c r="K12" s="23">
        <v>1000</v>
      </c>
      <c r="L12" s="23"/>
      <c r="M12" s="23"/>
      <c r="N12" s="3">
        <v>1000</v>
      </c>
      <c r="P12" s="2"/>
      <c r="Q12" s="23"/>
      <c r="R12" s="23"/>
      <c r="S12" s="23"/>
      <c r="T12" s="23"/>
      <c r="U12" s="23"/>
      <c r="V12" s="3"/>
    </row>
    <row r="13" spans="2:22" ht="15.75" thickBot="1">
      <c r="C13" s="4"/>
      <c r="D13" s="24"/>
      <c r="E13" s="24"/>
      <c r="F13" s="5"/>
      <c r="H13" s="4"/>
      <c r="I13" s="24"/>
      <c r="J13" s="24" t="s">
        <v>184</v>
      </c>
      <c r="K13" s="24"/>
      <c r="L13" s="24"/>
      <c r="M13" s="24"/>
      <c r="N13" s="5" t="s">
        <v>185</v>
      </c>
      <c r="P13" s="4"/>
      <c r="Q13" s="24"/>
      <c r="R13" s="24" t="s">
        <v>188</v>
      </c>
      <c r="S13" s="24"/>
      <c r="T13" s="24" t="s">
        <v>188</v>
      </c>
      <c r="U13" s="24"/>
      <c r="V13" s="5" t="s">
        <v>186</v>
      </c>
    </row>
    <row r="15" spans="2:22" ht="15.75" thickBot="1"/>
    <row r="16" spans="2:22" ht="15.75" thickBot="1">
      <c r="C16" s="156" t="s">
        <v>191</v>
      </c>
      <c r="D16" s="157"/>
      <c r="E16" s="157"/>
      <c r="F16" s="158"/>
      <c r="H16" s="156" t="s">
        <v>197</v>
      </c>
      <c r="I16" s="157"/>
      <c r="J16" s="157"/>
      <c r="K16" s="158"/>
      <c r="M16" s="156" t="s">
        <v>198</v>
      </c>
      <c r="N16" s="157"/>
      <c r="O16" s="157"/>
      <c r="P16" s="158"/>
      <c r="R16" s="156" t="s">
        <v>199</v>
      </c>
      <c r="S16" s="157"/>
      <c r="T16" s="157"/>
      <c r="U16" s="158"/>
    </row>
    <row r="17" spans="3:21" ht="15.75" thickBot="1">
      <c r="C17" s="1" t="s">
        <v>192</v>
      </c>
      <c r="D17" s="36"/>
      <c r="E17" s="36"/>
      <c r="F17" s="6">
        <f>16/18*100</f>
        <v>88.888888888888886</v>
      </c>
      <c r="H17" s="1" t="s">
        <v>192</v>
      </c>
      <c r="I17" s="36"/>
      <c r="J17" s="36"/>
      <c r="K17" s="6">
        <v>100</v>
      </c>
      <c r="M17" s="1" t="s">
        <v>192</v>
      </c>
      <c r="N17" s="36"/>
      <c r="O17" s="36"/>
      <c r="P17" s="6">
        <v>100</v>
      </c>
      <c r="R17" s="1" t="s">
        <v>192</v>
      </c>
      <c r="S17" s="36"/>
      <c r="T17" s="36"/>
      <c r="U17" s="6">
        <f>5/7*100</f>
        <v>71.428571428571431</v>
      </c>
    </row>
    <row r="18" spans="3:21" ht="15.75" thickBot="1">
      <c r="C18" s="2" t="s">
        <v>193</v>
      </c>
      <c r="D18" s="23"/>
      <c r="E18" s="23"/>
      <c r="F18" s="7">
        <f>2/18*100</f>
        <v>11.111111111111111</v>
      </c>
      <c r="H18" s="2" t="s">
        <v>193</v>
      </c>
      <c r="I18" s="23"/>
      <c r="J18" s="23"/>
      <c r="K18" s="7">
        <v>0</v>
      </c>
      <c r="M18" s="2" t="s">
        <v>193</v>
      </c>
      <c r="N18" s="23"/>
      <c r="O18" s="23"/>
      <c r="P18" s="7">
        <v>0</v>
      </c>
      <c r="R18" s="2" t="s">
        <v>193</v>
      </c>
      <c r="S18" s="23"/>
      <c r="T18" s="23"/>
      <c r="U18" s="6">
        <f>2/7*100</f>
        <v>28.571428571428569</v>
      </c>
    </row>
    <row r="19" spans="3:21" ht="15.75" thickBot="1">
      <c r="C19" s="2" t="s">
        <v>194</v>
      </c>
      <c r="D19" s="23"/>
      <c r="E19" s="23"/>
      <c r="F19" s="7">
        <f>7/18*100</f>
        <v>38.888888888888893</v>
      </c>
      <c r="H19" s="2" t="s">
        <v>194</v>
      </c>
      <c r="I19" s="23"/>
      <c r="J19" s="23"/>
      <c r="K19" s="7">
        <v>100</v>
      </c>
      <c r="M19" s="2" t="s">
        <v>194</v>
      </c>
      <c r="N19" s="23"/>
      <c r="O19" s="23"/>
      <c r="P19" s="7">
        <f>3/7*100</f>
        <v>42.857142857142854</v>
      </c>
      <c r="R19" s="2" t="s">
        <v>194</v>
      </c>
      <c r="S19" s="23"/>
      <c r="T19" s="23"/>
      <c r="U19" s="6">
        <v>0</v>
      </c>
    </row>
    <row r="20" spans="3:21" ht="15.75" thickBot="1">
      <c r="C20" s="2" t="s">
        <v>195</v>
      </c>
      <c r="D20" s="23"/>
      <c r="E20" s="23"/>
      <c r="F20" s="7">
        <f>3/18*100</f>
        <v>16.666666666666664</v>
      </c>
      <c r="H20" s="2" t="s">
        <v>195</v>
      </c>
      <c r="I20" s="23"/>
      <c r="J20" s="23"/>
      <c r="K20" s="7">
        <v>50</v>
      </c>
      <c r="M20" s="2" t="s">
        <v>195</v>
      </c>
      <c r="N20" s="23"/>
      <c r="O20" s="23"/>
      <c r="P20" s="7">
        <f>1/7*100</f>
        <v>14.285714285714285</v>
      </c>
      <c r="R20" s="2" t="s">
        <v>195</v>
      </c>
      <c r="S20" s="23"/>
      <c r="T20" s="23"/>
      <c r="U20" s="6">
        <v>0</v>
      </c>
    </row>
    <row r="21" spans="3:21" ht="15.75" thickBot="1">
      <c r="C21" s="4" t="s">
        <v>196</v>
      </c>
      <c r="D21" s="24"/>
      <c r="E21" s="24"/>
      <c r="F21" s="8">
        <f>2/18*100</f>
        <v>11.111111111111111</v>
      </c>
      <c r="H21" s="4" t="s">
        <v>196</v>
      </c>
      <c r="I21" s="24"/>
      <c r="J21" s="24"/>
      <c r="K21" s="8">
        <v>25</v>
      </c>
      <c r="M21" s="4" t="s">
        <v>573</v>
      </c>
      <c r="N21" s="24"/>
      <c r="O21" s="24"/>
      <c r="P21" s="8">
        <f>2/7*100</f>
        <v>28.571428571428569</v>
      </c>
      <c r="R21" s="4" t="s">
        <v>196</v>
      </c>
      <c r="S21" s="24"/>
      <c r="T21" s="24"/>
      <c r="U21" s="6">
        <v>0</v>
      </c>
    </row>
    <row r="22" spans="3:21" ht="15.75" thickBot="1">
      <c r="C22" s="48" t="s">
        <v>200</v>
      </c>
      <c r="D22" s="19"/>
      <c r="E22" s="19"/>
      <c r="F22" s="20">
        <f>4/18*100</f>
        <v>22.222222222222221</v>
      </c>
      <c r="H22" s="48" t="s">
        <v>200</v>
      </c>
      <c r="I22" s="19"/>
      <c r="J22" s="19"/>
      <c r="K22" s="20">
        <f>1/4*100</f>
        <v>25</v>
      </c>
      <c r="M22" s="48" t="s">
        <v>200</v>
      </c>
      <c r="N22" s="19"/>
      <c r="O22" s="19"/>
      <c r="P22" s="20">
        <f>3/7*100</f>
        <v>42.857142857142854</v>
      </c>
      <c r="R22" s="48" t="s">
        <v>200</v>
      </c>
      <c r="S22" s="19"/>
      <c r="T22" s="19"/>
      <c r="U22" s="20">
        <f>0/7*100</f>
        <v>0</v>
      </c>
    </row>
    <row r="23" spans="3:21">
      <c r="H23" s="47" t="s">
        <v>201</v>
      </c>
    </row>
    <row r="26" spans="3:21" ht="15.75" thickBot="1"/>
    <row r="27" spans="3:21" ht="15.75" thickBot="1">
      <c r="O27" s="13" t="s">
        <v>380</v>
      </c>
      <c r="P27" s="14" t="s">
        <v>381</v>
      </c>
      <c r="Q27" s="83" t="s">
        <v>382</v>
      </c>
    </row>
    <row r="28" spans="3:21" ht="15.75" thickBot="1">
      <c r="L28" s="1" t="s">
        <v>192</v>
      </c>
      <c r="M28" s="36"/>
      <c r="N28" s="36"/>
      <c r="O28" s="1">
        <v>100</v>
      </c>
      <c r="P28" s="6">
        <v>100</v>
      </c>
      <c r="Q28" s="135">
        <v>71.428571428571431</v>
      </c>
    </row>
    <row r="29" spans="3:21" ht="15.75" thickBot="1">
      <c r="L29" s="9" t="s">
        <v>193</v>
      </c>
      <c r="M29" s="19"/>
      <c r="N29" s="19"/>
      <c r="O29" s="9">
        <v>0</v>
      </c>
      <c r="P29" s="10">
        <v>0</v>
      </c>
      <c r="Q29" s="88">
        <v>28.571428571428569</v>
      </c>
    </row>
    <row r="30" spans="3:21" ht="15.75" thickBot="1">
      <c r="L30" s="2" t="s">
        <v>194</v>
      </c>
      <c r="M30" s="23"/>
      <c r="N30" s="23"/>
      <c r="O30" s="2">
        <v>100</v>
      </c>
      <c r="P30" s="110">
        <v>42.857142857142854</v>
      </c>
      <c r="Q30" s="3">
        <v>0</v>
      </c>
    </row>
    <row r="31" spans="3:21" ht="15.75" thickBot="1">
      <c r="L31" s="9" t="s">
        <v>195</v>
      </c>
      <c r="M31" s="19"/>
      <c r="N31" s="19"/>
      <c r="O31" s="9">
        <v>50</v>
      </c>
      <c r="P31" s="89">
        <v>14.285714285714285</v>
      </c>
      <c r="Q31" s="20">
        <v>0</v>
      </c>
    </row>
    <row r="32" spans="3:21" ht="15.75" thickBot="1">
      <c r="L32" s="4" t="s">
        <v>573</v>
      </c>
      <c r="M32" s="24"/>
      <c r="N32" s="24"/>
      <c r="O32" s="4">
        <v>25</v>
      </c>
      <c r="P32" s="111">
        <v>28.571428571428569</v>
      </c>
      <c r="Q32" s="5">
        <v>0</v>
      </c>
    </row>
    <row r="33" spans="11:25" ht="15.75" thickBot="1">
      <c r="L33" s="48" t="s">
        <v>574</v>
      </c>
      <c r="M33" s="19"/>
      <c r="N33" s="19"/>
      <c r="O33" s="10">
        <v>25</v>
      </c>
      <c r="P33" s="89">
        <v>42.857142857142854</v>
      </c>
      <c r="Q33" s="20">
        <v>0</v>
      </c>
    </row>
    <row r="35" spans="11:25" ht="15.75" thickBot="1"/>
    <row r="36" spans="11:25" ht="15.75" thickBot="1">
      <c r="O36" s="13" t="s">
        <v>380</v>
      </c>
      <c r="P36" s="14" t="s">
        <v>381</v>
      </c>
      <c r="Q36" s="83" t="s">
        <v>382</v>
      </c>
    </row>
    <row r="37" spans="11:25" ht="15.75" thickBot="1">
      <c r="N37" s="37"/>
      <c r="O37" s="56" t="s">
        <v>95</v>
      </c>
      <c r="P37" s="117" t="s">
        <v>95</v>
      </c>
      <c r="Q37" s="120" t="s">
        <v>95</v>
      </c>
    </row>
    <row r="38" spans="11:25" ht="15.75" thickBot="1">
      <c r="N38" s="12" t="s">
        <v>578</v>
      </c>
      <c r="O38" s="122">
        <f>K17</f>
        <v>100</v>
      </c>
      <c r="P38" s="122">
        <f>P19</f>
        <v>42.857142857142854</v>
      </c>
      <c r="Q38" s="134">
        <f>U19</f>
        <v>0</v>
      </c>
    </row>
    <row r="39" spans="11:25" ht="15.75" thickBot="1">
      <c r="N39" s="12" t="s">
        <v>529</v>
      </c>
      <c r="O39" s="167">
        <f>P55</f>
        <v>1.8952141659173711</v>
      </c>
      <c r="P39" s="168"/>
      <c r="Q39" s="126"/>
    </row>
    <row r="40" spans="11:25" ht="15.75" thickBot="1">
      <c r="N40" s="12" t="s">
        <v>529</v>
      </c>
      <c r="O40" s="127"/>
      <c r="P40" s="171">
        <f>X55</f>
        <v>1.9540168418367887</v>
      </c>
      <c r="Q40" s="172"/>
    </row>
    <row r="41" spans="11:25" ht="15.75" thickBot="1">
      <c r="N41" s="12" t="s">
        <v>522</v>
      </c>
      <c r="O41" s="118">
        <f>T55</f>
        <v>3.3166247903553998</v>
      </c>
      <c r="P41" s="128"/>
      <c r="Q41" s="119">
        <f>O41</f>
        <v>3.3166247903553998</v>
      </c>
    </row>
    <row r="43" spans="11:25" ht="15.75" thickBot="1"/>
    <row r="44" spans="11:25" ht="15.75" thickBot="1">
      <c r="K44" s="179"/>
      <c r="L44" s="180"/>
      <c r="M44" s="181"/>
      <c r="O44" s="179" t="s">
        <v>445</v>
      </c>
      <c r="P44" s="180"/>
      <c r="Q44" s="181"/>
      <c r="S44" s="179" t="s">
        <v>445</v>
      </c>
      <c r="T44" s="180"/>
      <c r="U44" s="181"/>
      <c r="W44" s="179" t="s">
        <v>445</v>
      </c>
      <c r="X44" s="180"/>
      <c r="Y44" s="181"/>
    </row>
    <row r="45" spans="11:25">
      <c r="O45" t="s">
        <v>576</v>
      </c>
      <c r="S45" t="s">
        <v>577</v>
      </c>
      <c r="W45" t="s">
        <v>575</v>
      </c>
    </row>
    <row r="46" spans="11:25">
      <c r="L46" s="136"/>
      <c r="O46" t="s">
        <v>442</v>
      </c>
      <c r="P46">
        <f>4/4</f>
        <v>1</v>
      </c>
      <c r="S46" t="s">
        <v>442</v>
      </c>
      <c r="T46">
        <f>4/4</f>
        <v>1</v>
      </c>
      <c r="W46" t="s">
        <v>442</v>
      </c>
      <c r="X46">
        <f>3/7</f>
        <v>0.42857142857142855</v>
      </c>
    </row>
    <row r="47" spans="11:25">
      <c r="L47" s="136"/>
      <c r="O47" t="s">
        <v>443</v>
      </c>
      <c r="P47">
        <f>3/7</f>
        <v>0.42857142857142855</v>
      </c>
      <c r="S47" t="s">
        <v>443</v>
      </c>
      <c r="T47">
        <f>0/7</f>
        <v>0</v>
      </c>
      <c r="W47" t="s">
        <v>443</v>
      </c>
      <c r="X47">
        <f>0/7</f>
        <v>0</v>
      </c>
    </row>
    <row r="49" spans="11:24">
      <c r="O49" t="s">
        <v>444</v>
      </c>
      <c r="P49">
        <f>7/11</f>
        <v>0.63636363636363635</v>
      </c>
      <c r="S49" t="s">
        <v>444</v>
      </c>
      <c r="T49">
        <f>4/11</f>
        <v>0.36363636363636365</v>
      </c>
      <c r="W49" t="s">
        <v>444</v>
      </c>
      <c r="X49">
        <f>3/14</f>
        <v>0.21428571428571427</v>
      </c>
    </row>
    <row r="51" spans="11:24">
      <c r="O51" t="s">
        <v>446</v>
      </c>
      <c r="P51">
        <f>(P46-P47)</f>
        <v>0.5714285714285714</v>
      </c>
      <c r="S51" t="s">
        <v>446</v>
      </c>
      <c r="T51">
        <f>(T46-T47)</f>
        <v>1</v>
      </c>
      <c r="W51" t="s">
        <v>446</v>
      </c>
      <c r="X51">
        <f>(X46-X47)</f>
        <v>0.42857142857142855</v>
      </c>
    </row>
    <row r="52" spans="11:24">
      <c r="O52" t="s">
        <v>447</v>
      </c>
      <c r="P52">
        <f>((P49*(1-P49))/4)+((P49*(1-P49))/7)</f>
        <v>9.0909090909090912E-2</v>
      </c>
      <c r="S52" t="s">
        <v>447</v>
      </c>
      <c r="T52">
        <f>((T49*(1-T49))/4)+((T49*(1-T49))/7)</f>
        <v>9.0909090909090912E-2</v>
      </c>
      <c r="W52" t="s">
        <v>447</v>
      </c>
      <c r="X52">
        <f>((X49*(1-X49))/7)+((X49*(1-X49))/7)</f>
        <v>4.8104956268221574E-2</v>
      </c>
    </row>
    <row r="53" spans="11:24">
      <c r="O53" t="s">
        <v>447</v>
      </c>
      <c r="P53">
        <f>SQRT(P52)</f>
        <v>0.30151134457776363</v>
      </c>
      <c r="S53" t="s">
        <v>447</v>
      </c>
      <c r="T53">
        <f>SQRT(T52)</f>
        <v>0.30151134457776363</v>
      </c>
      <c r="W53" t="s">
        <v>447</v>
      </c>
      <c r="X53">
        <f>SQRT(X52)</f>
        <v>0.21932842102249669</v>
      </c>
    </row>
    <row r="54" spans="11:24" ht="15.75" thickBot="1"/>
    <row r="55" spans="11:24" ht="15.75" thickBot="1">
      <c r="K55" s="80"/>
      <c r="L55" s="81"/>
      <c r="O55" s="80" t="s">
        <v>448</v>
      </c>
      <c r="P55" s="81">
        <f>P51/P53</f>
        <v>1.8952141659173711</v>
      </c>
      <c r="S55" s="80" t="s">
        <v>448</v>
      </c>
      <c r="T55" s="81">
        <f>T51/T53</f>
        <v>3.3166247903553998</v>
      </c>
      <c r="W55" s="80" t="s">
        <v>448</v>
      </c>
      <c r="X55" s="81">
        <f>X51/X53</f>
        <v>1.9540168418367887</v>
      </c>
    </row>
    <row r="57" spans="11:24" ht="15.75" thickBot="1"/>
    <row r="58" spans="11:24" ht="15.75" thickBot="1">
      <c r="P58" s="13" t="s">
        <v>380</v>
      </c>
      <c r="Q58" s="14" t="s">
        <v>381</v>
      </c>
      <c r="R58" s="83" t="s">
        <v>382</v>
      </c>
    </row>
    <row r="59" spans="11:24" ht="15.75" thickBot="1">
      <c r="O59" s="37"/>
      <c r="P59" s="56" t="s">
        <v>95</v>
      </c>
      <c r="Q59" s="117" t="s">
        <v>95</v>
      </c>
      <c r="R59" s="120" t="s">
        <v>95</v>
      </c>
    </row>
    <row r="60" spans="11:24" ht="15.75" thickBot="1">
      <c r="O60" s="12" t="s">
        <v>579</v>
      </c>
      <c r="P60" s="122">
        <v>50</v>
      </c>
      <c r="Q60" s="122">
        <v>14.29</v>
      </c>
      <c r="R60" s="134">
        <f>V41</f>
        <v>0</v>
      </c>
    </row>
    <row r="61" spans="11:24" ht="15.75" thickBot="1">
      <c r="O61" s="12" t="s">
        <v>529</v>
      </c>
      <c r="P61" s="167">
        <f>P77</f>
        <v>1.2794157892978975</v>
      </c>
      <c r="Q61" s="168"/>
      <c r="R61" s="126"/>
    </row>
    <row r="62" spans="11:24" ht="15.75" thickBot="1">
      <c r="O62" s="12" t="s">
        <v>529</v>
      </c>
      <c r="P62" s="127"/>
      <c r="Q62" s="171">
        <f>X77</f>
        <v>1.0377490433255416</v>
      </c>
      <c r="R62" s="172"/>
    </row>
    <row r="63" spans="11:24" ht="15.75" thickBot="1">
      <c r="O63" s="12" t="s">
        <v>522</v>
      </c>
      <c r="P63" s="118">
        <f>T77</f>
        <v>2.0682789409984759</v>
      </c>
      <c r="Q63" s="128"/>
      <c r="R63" s="119">
        <f>P63</f>
        <v>2.0682789409984759</v>
      </c>
    </row>
    <row r="65" spans="15:25" ht="15.75" thickBot="1"/>
    <row r="66" spans="15:25" ht="15.75" thickBot="1">
      <c r="O66" s="179" t="s">
        <v>445</v>
      </c>
      <c r="P66" s="180"/>
      <c r="Q66" s="181"/>
      <c r="S66" s="179" t="s">
        <v>445</v>
      </c>
      <c r="T66" s="180"/>
      <c r="U66" s="181"/>
      <c r="W66" s="179" t="s">
        <v>445</v>
      </c>
      <c r="X66" s="180"/>
      <c r="Y66" s="181"/>
    </row>
    <row r="67" spans="15:25">
      <c r="O67" t="s">
        <v>580</v>
      </c>
      <c r="S67" t="s">
        <v>581</v>
      </c>
      <c r="W67" t="s">
        <v>582</v>
      </c>
    </row>
    <row r="68" spans="15:25">
      <c r="O68" t="s">
        <v>442</v>
      </c>
      <c r="P68">
        <f>2/4</f>
        <v>0.5</v>
      </c>
      <c r="S68" t="s">
        <v>442</v>
      </c>
      <c r="T68">
        <f>2/4</f>
        <v>0.5</v>
      </c>
      <c r="W68" t="s">
        <v>442</v>
      </c>
      <c r="X68">
        <f>1/7</f>
        <v>0.14285714285714285</v>
      </c>
    </row>
    <row r="69" spans="15:25">
      <c r="O69" t="s">
        <v>443</v>
      </c>
      <c r="P69">
        <f>1/7</f>
        <v>0.14285714285714285</v>
      </c>
      <c r="S69" t="s">
        <v>443</v>
      </c>
      <c r="T69">
        <f>0/7</f>
        <v>0</v>
      </c>
      <c r="W69" t="s">
        <v>443</v>
      </c>
      <c r="X69">
        <f>0/7</f>
        <v>0</v>
      </c>
    </row>
    <row r="71" spans="15:25">
      <c r="O71" t="s">
        <v>444</v>
      </c>
      <c r="P71">
        <f>3/11</f>
        <v>0.27272727272727271</v>
      </c>
      <c r="S71" t="s">
        <v>444</v>
      </c>
      <c r="T71">
        <f>2/11</f>
        <v>0.18181818181818182</v>
      </c>
      <c r="W71" t="s">
        <v>444</v>
      </c>
      <c r="X71">
        <f>1/14</f>
        <v>7.1428571428571425E-2</v>
      </c>
    </row>
    <row r="73" spans="15:25">
      <c r="O73" t="s">
        <v>446</v>
      </c>
      <c r="P73">
        <f>(P68-P69)</f>
        <v>0.35714285714285715</v>
      </c>
      <c r="S73" t="s">
        <v>446</v>
      </c>
      <c r="T73">
        <f>(T68-T69)</f>
        <v>0.5</v>
      </c>
      <c r="W73" t="s">
        <v>446</v>
      </c>
      <c r="X73">
        <f>(X68-X69)</f>
        <v>0.14285714285714285</v>
      </c>
    </row>
    <row r="74" spans="15:25">
      <c r="O74" t="s">
        <v>447</v>
      </c>
      <c r="P74">
        <f>((P71*(1-P71))/4)+((P71*(1-P71))/7)</f>
        <v>7.792207792207792E-2</v>
      </c>
      <c r="S74" t="s">
        <v>447</v>
      </c>
      <c r="T74">
        <f>((T71*(1-T71))/4)+((T71*(1-T71))/7)</f>
        <v>5.8441558441558447E-2</v>
      </c>
      <c r="W74" t="s">
        <v>447</v>
      </c>
      <c r="X74">
        <f>((X71*(1-X71))/7)+((X71*(1-X71))/7)</f>
        <v>1.8950437317784258E-2</v>
      </c>
    </row>
    <row r="75" spans="15:25">
      <c r="O75" t="s">
        <v>447</v>
      </c>
      <c r="P75">
        <f>SQRT(P74)</f>
        <v>0.27914526311954124</v>
      </c>
      <c r="S75" t="s">
        <v>447</v>
      </c>
      <c r="T75">
        <f>SQRT(T74)</f>
        <v>0.24174688920761411</v>
      </c>
      <c r="W75" t="s">
        <v>447</v>
      </c>
      <c r="X75">
        <f>SQRT(X74)</f>
        <v>0.13766058737991879</v>
      </c>
    </row>
    <row r="76" spans="15:25" ht="15.75" thickBot="1"/>
    <row r="77" spans="15:25" ht="15.75" thickBot="1">
      <c r="O77" s="80" t="s">
        <v>448</v>
      </c>
      <c r="P77" s="81">
        <f>P73/P75</f>
        <v>1.2794157892978975</v>
      </c>
      <c r="S77" s="80" t="s">
        <v>448</v>
      </c>
      <c r="T77" s="81">
        <f>T73/T75</f>
        <v>2.0682789409984759</v>
      </c>
      <c r="W77" s="80" t="s">
        <v>448</v>
      </c>
      <c r="X77" s="81">
        <f>X73/X75</f>
        <v>1.0377490433255416</v>
      </c>
    </row>
    <row r="81" spans="17:22" ht="15.75" thickBot="1"/>
    <row r="82" spans="17:22" ht="15.75" thickBot="1">
      <c r="Q82" s="185" t="s">
        <v>583</v>
      </c>
      <c r="R82" s="186"/>
      <c r="S82" s="137"/>
      <c r="T82" s="138" t="s">
        <v>510</v>
      </c>
      <c r="U82" s="139" t="s">
        <v>524</v>
      </c>
      <c r="V82" s="140" t="s">
        <v>590</v>
      </c>
    </row>
    <row r="83" spans="17:22" ht="15.75" thickBot="1">
      <c r="Q83" s="182" t="s">
        <v>589</v>
      </c>
      <c r="R83" s="183"/>
      <c r="S83" s="184"/>
      <c r="T83" s="142">
        <v>0</v>
      </c>
      <c r="U83" s="143">
        <v>0</v>
      </c>
      <c r="V83" s="153">
        <f>2/7*100</f>
        <v>28.571428571428569</v>
      </c>
    </row>
    <row r="84" spans="17:22" ht="15.75" thickBot="1">
      <c r="Q84" s="182" t="s">
        <v>584</v>
      </c>
      <c r="R84" s="183"/>
      <c r="S84" s="184"/>
      <c r="T84" s="145">
        <v>0</v>
      </c>
      <c r="U84" s="153">
        <f>3/7*100</f>
        <v>42.857142857142854</v>
      </c>
      <c r="V84" s="153">
        <f>4/7*100</f>
        <v>57.142857142857139</v>
      </c>
    </row>
    <row r="85" spans="17:22" ht="15.75" thickBot="1">
      <c r="Q85" s="182" t="s">
        <v>585</v>
      </c>
      <c r="R85" s="183"/>
      <c r="S85" s="184"/>
      <c r="T85" s="148">
        <v>25</v>
      </c>
      <c r="U85" s="153">
        <f>2/7*100</f>
        <v>28.571428571428569</v>
      </c>
      <c r="V85" s="153">
        <f>1/7*100</f>
        <v>14.285714285714285</v>
      </c>
    </row>
    <row r="86" spans="17:22" ht="15.75" thickBot="1">
      <c r="Q86" s="182" t="s">
        <v>586</v>
      </c>
      <c r="R86" s="183"/>
      <c r="S86" s="183"/>
      <c r="T86" s="143">
        <f>2/4*100</f>
        <v>50</v>
      </c>
      <c r="U86" s="153">
        <f>2/7*100</f>
        <v>28.571428571428569</v>
      </c>
      <c r="V86" s="144">
        <v>0</v>
      </c>
    </row>
    <row r="87" spans="17:22" ht="15.75" thickBot="1">
      <c r="Q87" s="182" t="s">
        <v>587</v>
      </c>
      <c r="R87" s="183"/>
      <c r="S87" s="184"/>
      <c r="T87" s="148">
        <v>0</v>
      </c>
      <c r="U87" s="149">
        <v>0</v>
      </c>
      <c r="V87" s="150">
        <v>0</v>
      </c>
    </row>
    <row r="88" spans="17:22" ht="15.75" thickBot="1">
      <c r="Q88" s="182" t="s">
        <v>588</v>
      </c>
      <c r="R88" s="183"/>
      <c r="S88" s="184"/>
      <c r="T88" s="142">
        <v>25</v>
      </c>
      <c r="U88" s="143">
        <v>0</v>
      </c>
      <c r="V88" s="144">
        <v>0</v>
      </c>
    </row>
    <row r="89" spans="17:22" ht="15.75" thickBot="1">
      <c r="Q89" s="141" t="s">
        <v>43</v>
      </c>
      <c r="R89" s="151"/>
      <c r="S89" s="152"/>
      <c r="T89" s="145">
        <v>100</v>
      </c>
      <c r="U89" s="146">
        <v>100</v>
      </c>
      <c r="V89" s="147">
        <v>100</v>
      </c>
    </row>
  </sheetData>
  <mergeCells count="25">
    <mergeCell ref="C3:F3"/>
    <mergeCell ref="H3:N3"/>
    <mergeCell ref="P3:V3"/>
    <mergeCell ref="C16:F16"/>
    <mergeCell ref="H16:K16"/>
    <mergeCell ref="M16:P16"/>
    <mergeCell ref="R16:U16"/>
    <mergeCell ref="O39:P39"/>
    <mergeCell ref="P40:Q40"/>
    <mergeCell ref="K44:M44"/>
    <mergeCell ref="O44:Q44"/>
    <mergeCell ref="S44:U44"/>
    <mergeCell ref="W44:Y44"/>
    <mergeCell ref="P61:Q61"/>
    <mergeCell ref="Q62:R62"/>
    <mergeCell ref="O66:Q66"/>
    <mergeCell ref="S66:U66"/>
    <mergeCell ref="W66:Y66"/>
    <mergeCell ref="Q87:S87"/>
    <mergeCell ref="Q88:S88"/>
    <mergeCell ref="Q82:R82"/>
    <mergeCell ref="Q83:S83"/>
    <mergeCell ref="Q84:S84"/>
    <mergeCell ref="Q85:S85"/>
    <mergeCell ref="Q86:S8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C2:AU81"/>
  <sheetViews>
    <sheetView zoomScale="85" zoomScaleNormal="85" workbookViewId="0">
      <selection activeCell="D9" sqref="D9:X9"/>
    </sheetView>
  </sheetViews>
  <sheetFormatPr baseColWidth="10" defaultRowHeight="15"/>
  <cols>
    <col min="3" max="3" width="38.85546875" customWidth="1"/>
    <col min="5" max="5" width="13.5703125" customWidth="1"/>
    <col min="6" max="6" width="14.28515625" customWidth="1"/>
    <col min="7" max="7" width="14" customWidth="1"/>
    <col min="14" max="14" width="13.28515625" customWidth="1"/>
    <col min="37" max="37" width="31.42578125" customWidth="1"/>
  </cols>
  <sheetData>
    <row r="2" spans="3:42" ht="15.75" thickBot="1"/>
    <row r="3" spans="3:42" ht="15.75" thickBot="1">
      <c r="D3" s="156" t="s">
        <v>20</v>
      </c>
      <c r="E3" s="157"/>
      <c r="F3" s="157"/>
      <c r="G3" s="158"/>
      <c r="J3" s="156" t="s">
        <v>28</v>
      </c>
      <c r="K3" s="157"/>
      <c r="L3" s="157"/>
      <c r="M3" s="157"/>
      <c r="N3" s="157"/>
      <c r="O3" s="157"/>
      <c r="P3" s="158"/>
      <c r="R3" s="156" t="s">
        <v>29</v>
      </c>
      <c r="S3" s="157"/>
      <c r="T3" s="157"/>
      <c r="U3" s="157"/>
      <c r="V3" s="157"/>
      <c r="W3" s="157"/>
      <c r="X3" s="158"/>
    </row>
    <row r="4" spans="3:42" ht="15.75" thickBot="1">
      <c r="D4" s="9" t="s">
        <v>13</v>
      </c>
      <c r="E4" s="10" t="s">
        <v>15</v>
      </c>
      <c r="F4" s="19" t="s">
        <v>16</v>
      </c>
      <c r="G4" s="15" t="s">
        <v>18</v>
      </c>
      <c r="J4" s="10" t="s">
        <v>21</v>
      </c>
      <c r="K4" s="15" t="s">
        <v>22</v>
      </c>
      <c r="L4" s="15" t="s">
        <v>23</v>
      </c>
      <c r="M4" s="15" t="s">
        <v>24</v>
      </c>
      <c r="N4" s="15" t="s">
        <v>25</v>
      </c>
      <c r="O4" s="15" t="s">
        <v>26</v>
      </c>
      <c r="P4" s="15" t="s">
        <v>27</v>
      </c>
      <c r="R4" s="9" t="s">
        <v>30</v>
      </c>
      <c r="S4" s="10" t="s">
        <v>31</v>
      </c>
      <c r="T4" s="19" t="s">
        <v>32</v>
      </c>
      <c r="U4" s="10" t="s">
        <v>33</v>
      </c>
      <c r="V4" s="19" t="s">
        <v>34</v>
      </c>
      <c r="W4" s="10" t="s">
        <v>35</v>
      </c>
      <c r="X4" s="20" t="s">
        <v>36</v>
      </c>
      <c r="AJ4" s="62" t="s">
        <v>352</v>
      </c>
      <c r="AK4" s="61"/>
      <c r="AL4" s="59" t="s">
        <v>375</v>
      </c>
    </row>
    <row r="5" spans="3:42" ht="15.75" thickBot="1">
      <c r="C5" s="6" t="s">
        <v>202</v>
      </c>
      <c r="D5" s="1"/>
      <c r="E5" s="6"/>
      <c r="F5" s="36"/>
      <c r="G5" s="49"/>
      <c r="AI5" s="58" t="s">
        <v>355</v>
      </c>
      <c r="AJ5" s="61">
        <f>SUM(AN9:AP15)</f>
        <v>7606694882.9444447</v>
      </c>
    </row>
    <row r="6" spans="3:42" ht="15.75" thickBot="1">
      <c r="C6" s="7" t="s">
        <v>208</v>
      </c>
      <c r="D6" s="2">
        <v>8420</v>
      </c>
      <c r="E6" s="7">
        <v>0</v>
      </c>
      <c r="F6" s="23">
        <v>0</v>
      </c>
      <c r="G6" s="21">
        <v>0</v>
      </c>
      <c r="J6">
        <v>1200</v>
      </c>
      <c r="K6">
        <f>240*3.111</f>
        <v>746.6400000000001</v>
      </c>
      <c r="L6">
        <f>450+300</f>
        <v>750</v>
      </c>
      <c r="M6">
        <v>0</v>
      </c>
      <c r="N6">
        <v>22</v>
      </c>
      <c r="O6">
        <v>360</v>
      </c>
      <c r="P6">
        <v>600</v>
      </c>
      <c r="R6">
        <v>0</v>
      </c>
      <c r="S6">
        <v>580</v>
      </c>
      <c r="T6">
        <v>890</v>
      </c>
      <c r="U6">
        <v>500</v>
      </c>
      <c r="V6">
        <v>305</v>
      </c>
      <c r="W6">
        <v>90</v>
      </c>
      <c r="X6">
        <v>1440</v>
      </c>
      <c r="AI6" t="s">
        <v>354</v>
      </c>
      <c r="AK6">
        <f>G27</f>
        <v>9804.9444444444453</v>
      </c>
    </row>
    <row r="7" spans="3:42" ht="15.75" thickBot="1">
      <c r="C7" s="7" t="s">
        <v>209</v>
      </c>
      <c r="D7" s="2">
        <v>40900</v>
      </c>
      <c r="E7" s="7">
        <v>60480</v>
      </c>
      <c r="F7" s="23">
        <v>640</v>
      </c>
      <c r="G7" s="21">
        <v>3900</v>
      </c>
      <c r="J7">
        <v>1740</v>
      </c>
      <c r="K7">
        <v>3200</v>
      </c>
      <c r="L7">
        <v>1700</v>
      </c>
      <c r="M7">
        <v>933</v>
      </c>
      <c r="N7">
        <v>5000</v>
      </c>
      <c r="O7" s="50" t="s">
        <v>232</v>
      </c>
      <c r="P7">
        <v>280</v>
      </c>
      <c r="R7">
        <v>225</v>
      </c>
      <c r="S7">
        <v>178</v>
      </c>
      <c r="T7">
        <v>50</v>
      </c>
      <c r="U7">
        <v>320</v>
      </c>
      <c r="V7">
        <v>100</v>
      </c>
      <c r="W7">
        <v>10</v>
      </c>
      <c r="X7">
        <v>0</v>
      </c>
      <c r="AI7" s="160" t="s">
        <v>356</v>
      </c>
      <c r="AJ7" s="161"/>
      <c r="AK7" s="161"/>
      <c r="AL7" s="162"/>
      <c r="AN7" s="160" t="s">
        <v>357</v>
      </c>
      <c r="AO7" s="161"/>
      <c r="AP7" s="162"/>
    </row>
    <row r="8" spans="3:42" ht="15.75" thickBot="1">
      <c r="C8" s="7" t="s">
        <v>210</v>
      </c>
      <c r="D8" s="2">
        <v>25000</v>
      </c>
      <c r="E8" s="7">
        <v>0</v>
      </c>
      <c r="F8" s="23">
        <v>0</v>
      </c>
      <c r="G8" s="21">
        <v>0</v>
      </c>
      <c r="J8">
        <v>500</v>
      </c>
      <c r="K8">
        <v>0</v>
      </c>
      <c r="L8">
        <f>1200+900</f>
        <v>2100</v>
      </c>
      <c r="M8">
        <v>1000</v>
      </c>
      <c r="N8">
        <v>1130</v>
      </c>
      <c r="O8">
        <v>1250</v>
      </c>
      <c r="P8">
        <v>1000</v>
      </c>
      <c r="R8">
        <v>3800</v>
      </c>
      <c r="S8">
        <v>150</v>
      </c>
      <c r="T8">
        <v>2000</v>
      </c>
      <c r="U8">
        <v>0</v>
      </c>
      <c r="V8">
        <v>50</v>
      </c>
      <c r="W8">
        <v>0</v>
      </c>
      <c r="X8">
        <v>450</v>
      </c>
      <c r="AI8" s="1"/>
      <c r="AJ8" s="10" t="s">
        <v>17</v>
      </c>
      <c r="AK8" s="10" t="s">
        <v>327</v>
      </c>
      <c r="AL8" s="20" t="s">
        <v>328</v>
      </c>
      <c r="AN8" s="10" t="s">
        <v>17</v>
      </c>
      <c r="AO8" s="10" t="s">
        <v>327</v>
      </c>
      <c r="AP8" s="20" t="s">
        <v>328</v>
      </c>
    </row>
    <row r="9" spans="3:42" ht="15.75" thickBot="1">
      <c r="C9" s="7" t="s">
        <v>211</v>
      </c>
      <c r="D9" s="47">
        <v>74320</v>
      </c>
      <c r="E9" s="7">
        <v>60480</v>
      </c>
      <c r="F9" s="23">
        <v>640</v>
      </c>
      <c r="G9" s="21">
        <v>3900</v>
      </c>
      <c r="J9">
        <v>3440</v>
      </c>
      <c r="K9">
        <v>3946</v>
      </c>
      <c r="L9">
        <v>4550</v>
      </c>
      <c r="M9">
        <v>1933</v>
      </c>
      <c r="N9">
        <v>6152</v>
      </c>
      <c r="O9">
        <v>4110</v>
      </c>
      <c r="P9">
        <v>1880</v>
      </c>
      <c r="R9">
        <v>4025</v>
      </c>
      <c r="S9">
        <v>908</v>
      </c>
      <c r="T9">
        <v>2940</v>
      </c>
      <c r="U9">
        <v>820</v>
      </c>
      <c r="V9">
        <v>455</v>
      </c>
      <c r="W9">
        <v>100</v>
      </c>
      <c r="X9">
        <v>1890</v>
      </c>
      <c r="AI9" s="2" t="s">
        <v>376</v>
      </c>
      <c r="AJ9" s="7">
        <f>D9-G27</f>
        <v>64515.055555555555</v>
      </c>
      <c r="AK9" s="7">
        <f>P9-G27</f>
        <v>-7924.9444444444453</v>
      </c>
      <c r="AL9" s="3">
        <f>R9-G27</f>
        <v>-5779.9444444444453</v>
      </c>
      <c r="AN9">
        <f>AJ9*AJ9</f>
        <v>4162192393.3364196</v>
      </c>
      <c r="AO9">
        <f t="shared" ref="AO9:AP15" si="0">AK9*AK9</f>
        <v>62804744.447530881</v>
      </c>
      <c r="AP9">
        <f t="shared" si="0"/>
        <v>33407757.780864205</v>
      </c>
    </row>
    <row r="10" spans="3:42" ht="15.75" thickBot="1">
      <c r="C10" s="10" t="s">
        <v>203</v>
      </c>
      <c r="D10" s="47">
        <v>1</v>
      </c>
      <c r="E10" s="7">
        <v>2</v>
      </c>
      <c r="F10" s="23">
        <v>4</v>
      </c>
      <c r="G10" s="21">
        <v>2</v>
      </c>
      <c r="J10">
        <v>4</v>
      </c>
      <c r="K10">
        <v>4</v>
      </c>
      <c r="L10">
        <v>4</v>
      </c>
      <c r="M10">
        <v>4</v>
      </c>
      <c r="N10" s="23">
        <v>4</v>
      </c>
      <c r="O10">
        <v>4</v>
      </c>
      <c r="P10">
        <v>4</v>
      </c>
      <c r="R10">
        <v>4</v>
      </c>
      <c r="S10">
        <v>4</v>
      </c>
      <c r="T10">
        <v>4</v>
      </c>
      <c r="U10">
        <v>4</v>
      </c>
      <c r="V10">
        <v>4</v>
      </c>
      <c r="W10">
        <v>4</v>
      </c>
      <c r="X10">
        <v>4</v>
      </c>
      <c r="AI10" s="2" t="s">
        <v>376</v>
      </c>
      <c r="AJ10" s="7">
        <f>E9-G27</f>
        <v>50675.055555555555</v>
      </c>
      <c r="AK10" s="7">
        <f>J9-G27</f>
        <v>-6364.9444444444453</v>
      </c>
      <c r="AL10" s="3">
        <f>S9-G27</f>
        <v>-8896.9444444444453</v>
      </c>
      <c r="AN10">
        <f t="shared" ref="AN10:AN12" si="1">AJ10*AJ10</f>
        <v>2567961255.5586419</v>
      </c>
      <c r="AO10">
        <f t="shared" si="0"/>
        <v>40512517.780864209</v>
      </c>
      <c r="AP10">
        <f t="shared" si="0"/>
        <v>79155620.447530881</v>
      </c>
    </row>
    <row r="11" spans="3:42" ht="15.75" thickBot="1">
      <c r="C11" s="8" t="s">
        <v>204</v>
      </c>
      <c r="D11" s="47">
        <v>3</v>
      </c>
      <c r="E11" s="7">
        <v>3</v>
      </c>
      <c r="F11" s="37">
        <v>3</v>
      </c>
      <c r="G11" s="21">
        <v>3</v>
      </c>
      <c r="J11">
        <v>3</v>
      </c>
      <c r="K11">
        <v>3</v>
      </c>
      <c r="L11">
        <v>2</v>
      </c>
      <c r="M11">
        <v>2</v>
      </c>
      <c r="N11" s="37">
        <v>3</v>
      </c>
      <c r="O11">
        <v>2</v>
      </c>
      <c r="P11">
        <v>2</v>
      </c>
      <c r="R11">
        <v>2</v>
      </c>
      <c r="S11">
        <v>2</v>
      </c>
      <c r="T11">
        <v>2</v>
      </c>
      <c r="U11">
        <v>2</v>
      </c>
      <c r="V11">
        <v>2</v>
      </c>
      <c r="W11">
        <v>2</v>
      </c>
      <c r="X11">
        <v>2</v>
      </c>
      <c r="AI11" s="2" t="s">
        <v>376</v>
      </c>
      <c r="AJ11" s="7">
        <f>F9-G27</f>
        <v>-9164.9444444444453</v>
      </c>
      <c r="AK11" s="7">
        <f>K9-G27</f>
        <v>-5858.9444444444453</v>
      </c>
      <c r="AL11" s="3">
        <f>T9-G27</f>
        <v>-6864.9444444444453</v>
      </c>
      <c r="AN11">
        <f t="shared" si="1"/>
        <v>83996206.669753104</v>
      </c>
      <c r="AO11">
        <f t="shared" si="0"/>
        <v>34327230.003086433</v>
      </c>
      <c r="AP11">
        <f t="shared" si="0"/>
        <v>47127462.225308657</v>
      </c>
    </row>
    <row r="12" spans="3:42">
      <c r="C12" s="7" t="s">
        <v>205</v>
      </c>
      <c r="D12" s="2" t="s">
        <v>217</v>
      </c>
      <c r="E12" s="7">
        <v>3</v>
      </c>
      <c r="F12" s="23">
        <v>3</v>
      </c>
      <c r="G12" s="21" t="s">
        <v>212</v>
      </c>
      <c r="J12" t="s">
        <v>244</v>
      </c>
      <c r="K12" t="s">
        <v>226</v>
      </c>
      <c r="L12" t="s">
        <v>238</v>
      </c>
      <c r="M12">
        <v>7.8</v>
      </c>
      <c r="N12" t="s">
        <v>241</v>
      </c>
      <c r="O12" t="s">
        <v>233</v>
      </c>
      <c r="P12">
        <v>5.6</v>
      </c>
      <c r="R12" t="s">
        <v>254</v>
      </c>
      <c r="S12" t="s">
        <v>263</v>
      </c>
      <c r="T12">
        <v>3.4</v>
      </c>
      <c r="U12">
        <v>3.4</v>
      </c>
      <c r="V12" t="s">
        <v>254</v>
      </c>
      <c r="W12" t="s">
        <v>257</v>
      </c>
      <c r="X12">
        <v>3.4</v>
      </c>
      <c r="AI12" s="2" t="s">
        <v>376</v>
      </c>
      <c r="AJ12" s="7">
        <f>G9-G27</f>
        <v>-5904.9444444444453</v>
      </c>
      <c r="AK12" s="7">
        <f>L9-G27</f>
        <v>-5254.9444444444453</v>
      </c>
      <c r="AL12" s="3">
        <f>U9-G27</f>
        <v>-8984.9444444444453</v>
      </c>
      <c r="AN12">
        <f t="shared" si="1"/>
        <v>34868368.891975321</v>
      </c>
      <c r="AO12">
        <f t="shared" si="0"/>
        <v>27614441.114197541</v>
      </c>
      <c r="AP12">
        <f t="shared" si="0"/>
        <v>80729226.669753104</v>
      </c>
    </row>
    <row r="13" spans="3:42">
      <c r="C13" s="7" t="s">
        <v>206</v>
      </c>
      <c r="D13" s="2" t="s">
        <v>217</v>
      </c>
      <c r="E13" s="7" t="s">
        <v>220</v>
      </c>
      <c r="F13" s="23" t="s">
        <v>222</v>
      </c>
      <c r="G13" s="21" t="s">
        <v>213</v>
      </c>
      <c r="J13" t="s">
        <v>245</v>
      </c>
      <c r="K13" t="s">
        <v>227</v>
      </c>
      <c r="L13" t="s">
        <v>239</v>
      </c>
      <c r="M13" t="s">
        <v>280</v>
      </c>
      <c r="N13" t="s">
        <v>296</v>
      </c>
      <c r="O13" t="s">
        <v>234</v>
      </c>
      <c r="P13" t="s">
        <v>245</v>
      </c>
      <c r="R13" t="s">
        <v>262</v>
      </c>
      <c r="S13" t="s">
        <v>264</v>
      </c>
      <c r="T13" t="s">
        <v>252</v>
      </c>
      <c r="U13" t="s">
        <v>251</v>
      </c>
      <c r="V13" t="s">
        <v>251</v>
      </c>
      <c r="W13" t="s">
        <v>258</v>
      </c>
      <c r="X13" t="s">
        <v>251</v>
      </c>
      <c r="AI13" s="2" t="s">
        <v>376</v>
      </c>
      <c r="AJ13" s="7"/>
      <c r="AK13" s="7">
        <f>M9-G27</f>
        <v>-7871.9444444444453</v>
      </c>
      <c r="AL13" s="3">
        <f>V9-G27</f>
        <v>-9349.9444444444453</v>
      </c>
      <c r="AO13">
        <f t="shared" si="0"/>
        <v>61967509.336419769</v>
      </c>
      <c r="AP13">
        <f t="shared" si="0"/>
        <v>87421461.114197552</v>
      </c>
    </row>
    <row r="14" spans="3:42" ht="15.75" thickBot="1">
      <c r="C14" s="8" t="s">
        <v>207</v>
      </c>
      <c r="D14" s="4" t="s">
        <v>217</v>
      </c>
      <c r="E14" s="8" t="s">
        <v>221</v>
      </c>
      <c r="F14" s="24" t="s">
        <v>221</v>
      </c>
      <c r="G14" s="22" t="s">
        <v>214</v>
      </c>
      <c r="J14" t="s">
        <v>246</v>
      </c>
      <c r="K14" t="s">
        <v>228</v>
      </c>
      <c r="M14" t="s">
        <v>281</v>
      </c>
      <c r="N14" t="s">
        <v>242</v>
      </c>
      <c r="O14" t="s">
        <v>235</v>
      </c>
      <c r="P14" t="s">
        <v>248</v>
      </c>
      <c r="S14" t="s">
        <v>265</v>
      </c>
      <c r="U14" t="s">
        <v>228</v>
      </c>
      <c r="V14" t="s">
        <v>255</v>
      </c>
      <c r="W14" t="s">
        <v>259</v>
      </c>
      <c r="X14" t="s">
        <v>235</v>
      </c>
      <c r="AI14" s="2" t="s">
        <v>376</v>
      </c>
      <c r="AJ14" s="7"/>
      <c r="AK14" s="7">
        <f>N9-G27</f>
        <v>-3652.9444444444453</v>
      </c>
      <c r="AL14" s="3">
        <f>W9-G27</f>
        <v>-9704.9444444444453</v>
      </c>
      <c r="AO14">
        <f t="shared" si="0"/>
        <v>13344003.114197537</v>
      </c>
      <c r="AP14">
        <f t="shared" si="0"/>
        <v>94185946.669753104</v>
      </c>
    </row>
    <row r="15" spans="3:42" ht="15.75" thickBot="1">
      <c r="J15" t="s">
        <v>247</v>
      </c>
      <c r="K15" t="s">
        <v>229</v>
      </c>
      <c r="M15" t="s">
        <v>230</v>
      </c>
      <c r="N15" t="s">
        <v>243</v>
      </c>
      <c r="O15" t="s">
        <v>236</v>
      </c>
      <c r="P15" t="s">
        <v>236</v>
      </c>
      <c r="S15" t="s">
        <v>266</v>
      </c>
      <c r="U15" t="s">
        <v>230</v>
      </c>
      <c r="V15" t="s">
        <v>256</v>
      </c>
      <c r="W15" t="s">
        <v>256</v>
      </c>
      <c r="X15" t="s">
        <v>236</v>
      </c>
      <c r="AI15" s="2" t="s">
        <v>376</v>
      </c>
      <c r="AJ15" s="8"/>
      <c r="AK15" s="7">
        <f>O9-G27</f>
        <v>-5694.9444444444453</v>
      </c>
      <c r="AL15" s="3">
        <f>X9-G27</f>
        <v>-7914.9444444444453</v>
      </c>
      <c r="AO15">
        <f t="shared" si="0"/>
        <v>32432392.225308653</v>
      </c>
      <c r="AP15">
        <f t="shared" si="0"/>
        <v>62646345.558641985</v>
      </c>
    </row>
    <row r="16" spans="3:42" ht="15.75" thickBot="1">
      <c r="K16" t="s">
        <v>230</v>
      </c>
      <c r="U16" t="s">
        <v>253</v>
      </c>
      <c r="V16" t="s">
        <v>236</v>
      </c>
    </row>
    <row r="17" spans="3:47" ht="15.75" thickBot="1">
      <c r="D17" t="s">
        <v>219</v>
      </c>
      <c r="AI17" s="58" t="s">
        <v>358</v>
      </c>
      <c r="AJ17" s="61">
        <f>AJ22+AK22+AL22</f>
        <v>3237819369.2301588</v>
      </c>
    </row>
    <row r="18" spans="3:47" ht="15.75" thickBot="1">
      <c r="D18" t="s">
        <v>218</v>
      </c>
      <c r="AI18" s="63"/>
      <c r="AJ18" s="65" t="s">
        <v>17</v>
      </c>
      <c r="AK18" s="66" t="s">
        <v>327</v>
      </c>
      <c r="AL18" s="65" t="s">
        <v>328</v>
      </c>
      <c r="AM18" s="64"/>
      <c r="AN18" s="37"/>
      <c r="AO18" s="163"/>
      <c r="AP18" s="163"/>
    </row>
    <row r="19" spans="3:47" ht="15.75" thickBot="1">
      <c r="D19" t="s">
        <v>223</v>
      </c>
      <c r="W19">
        <f>5/7*100</f>
        <v>71.428571428571431</v>
      </c>
      <c r="AI19" s="63" t="s">
        <v>376</v>
      </c>
      <c r="AJ19" s="15">
        <f>O30</f>
        <v>34835</v>
      </c>
      <c r="AK19" s="15">
        <f>V30</f>
        <v>3715.8571428571427</v>
      </c>
      <c r="AL19" s="22">
        <f>AD30</f>
        <v>1591.1428571428571</v>
      </c>
      <c r="AM19" s="37"/>
      <c r="AN19" s="37"/>
      <c r="AO19" s="64"/>
      <c r="AP19" s="37"/>
    </row>
    <row r="20" spans="3:47" ht="15.75" thickBot="1">
      <c r="AI20" s="64" t="s">
        <v>359</v>
      </c>
      <c r="AJ20">
        <f>AJ19-AK6</f>
        <v>25030.055555555555</v>
      </c>
      <c r="AK20">
        <f>AK19-AK6</f>
        <v>-6089.0873015873021</v>
      </c>
      <c r="AL20">
        <f>AL19-AK6</f>
        <v>-8213.8015873015884</v>
      </c>
    </row>
    <row r="21" spans="3:47" ht="15.75" thickBot="1">
      <c r="AI21" s="64" t="s">
        <v>360</v>
      </c>
      <c r="AJ21">
        <f>AJ20*AJ20</f>
        <v>626503681.11419749</v>
      </c>
      <c r="AK21">
        <f t="shared" ref="AK21:AL21" si="2">AK20*AK20</f>
        <v>37076984.166351736</v>
      </c>
      <c r="AL21">
        <f t="shared" si="2"/>
        <v>67466536.515558094</v>
      </c>
      <c r="AS21" s="156" t="s">
        <v>538</v>
      </c>
      <c r="AT21" s="190"/>
      <c r="AU21" s="191"/>
    </row>
    <row r="22" spans="3:47" ht="15.75" thickBot="1">
      <c r="D22" s="156" t="s">
        <v>275</v>
      </c>
      <c r="E22" s="157"/>
      <c r="F22" s="157"/>
      <c r="G22" s="158"/>
      <c r="AI22" s="64" t="s">
        <v>361</v>
      </c>
      <c r="AJ22">
        <f>AJ21*4</f>
        <v>2506014724.45679</v>
      </c>
      <c r="AK22">
        <f>AK21*7</f>
        <v>259538889.16446215</v>
      </c>
      <c r="AL22">
        <f>AL21*7</f>
        <v>472265755.60890663</v>
      </c>
      <c r="AR22" s="37"/>
      <c r="AS22" s="12" t="s">
        <v>532</v>
      </c>
      <c r="AT22" s="12" t="s">
        <v>533</v>
      </c>
      <c r="AU22" s="18" t="s">
        <v>534</v>
      </c>
    </row>
    <row r="23" spans="3:47" ht="15.75" thickBot="1">
      <c r="D23" s="1"/>
      <c r="E23" s="36"/>
      <c r="F23" s="36"/>
      <c r="G23" s="35"/>
      <c r="K23" t="s">
        <v>237</v>
      </c>
      <c r="AR23" s="12" t="s">
        <v>539</v>
      </c>
      <c r="AS23" s="104">
        <f>AJ19</f>
        <v>34835</v>
      </c>
      <c r="AT23" s="104">
        <f>AK19</f>
        <v>3715.8571428571427</v>
      </c>
      <c r="AU23" s="97">
        <f>AL19</f>
        <v>1591.1428571428571</v>
      </c>
    </row>
    <row r="24" spans="3:47" ht="15.75" thickBot="1">
      <c r="C24" s="9" t="s">
        <v>202</v>
      </c>
      <c r="D24" s="2" t="s">
        <v>267</v>
      </c>
      <c r="E24" s="23"/>
      <c r="F24" s="23"/>
      <c r="G24" s="3">
        <f>(SUM(D6:X6))/18</f>
        <v>883.53555555555556</v>
      </c>
      <c r="AI24" s="31" t="s">
        <v>362</v>
      </c>
      <c r="AJ24" s="32"/>
      <c r="AK24" s="32"/>
      <c r="AL24" s="32"/>
      <c r="AM24" s="18"/>
      <c r="AR24" s="31" t="s">
        <v>540</v>
      </c>
      <c r="AS24" s="104">
        <f>STDEV(D9:G9)</f>
        <v>38048.230357446759</v>
      </c>
      <c r="AT24" s="104">
        <f>STDEV(J9:P9)</f>
        <v>1497.9958198174236</v>
      </c>
      <c r="AU24" s="104">
        <f>STDEV(R9:X9)</f>
        <v>1438.0579993601821</v>
      </c>
    </row>
    <row r="25" spans="3:47" ht="15.75" thickBot="1">
      <c r="D25" s="2" t="s">
        <v>268</v>
      </c>
      <c r="E25" s="23"/>
      <c r="F25" s="23"/>
      <c r="G25" s="3">
        <f>(SUM(D7:X7))/18</f>
        <v>6647.5555555555557</v>
      </c>
      <c r="L25" s="156" t="s">
        <v>197</v>
      </c>
      <c r="M25" s="157"/>
      <c r="N25" s="157"/>
      <c r="O25" s="158"/>
      <c r="S25" s="156" t="s">
        <v>309</v>
      </c>
      <c r="T25" s="157"/>
      <c r="U25" s="157"/>
      <c r="V25" s="158"/>
      <c r="AA25" s="156" t="s">
        <v>199</v>
      </c>
      <c r="AB25" s="157"/>
      <c r="AC25" s="157"/>
      <c r="AD25" s="158"/>
      <c r="AI25" s="2" t="s">
        <v>363</v>
      </c>
      <c r="AJ25" s="23" t="s">
        <v>364</v>
      </c>
      <c r="AK25" s="23" t="s">
        <v>365</v>
      </c>
      <c r="AL25" s="23" t="s">
        <v>366</v>
      </c>
      <c r="AM25" s="3" t="s">
        <v>367</v>
      </c>
      <c r="AR25" s="15" t="s">
        <v>387</v>
      </c>
      <c r="AS25" s="167">
        <f>AM26</f>
        <v>5.5583284973439238</v>
      </c>
      <c r="AT25" s="192"/>
      <c r="AU25" s="168"/>
    </row>
    <row r="26" spans="3:47" ht="15.75" thickBot="1">
      <c r="D26" s="2" t="s">
        <v>269</v>
      </c>
      <c r="E26" s="23"/>
      <c r="F26" s="23"/>
      <c r="G26" s="3">
        <f>(SUM(D8:X8))/18</f>
        <v>2135</v>
      </c>
      <c r="L26" s="1"/>
      <c r="M26" s="36"/>
      <c r="N26" s="36"/>
      <c r="O26" s="35"/>
      <c r="S26" s="1"/>
      <c r="T26" s="36"/>
      <c r="U26" s="36"/>
      <c r="V26" s="35"/>
      <c r="AA26" s="1"/>
      <c r="AB26" s="36"/>
      <c r="AC26" s="36"/>
      <c r="AD26" s="35"/>
      <c r="AI26" s="2" t="s">
        <v>376</v>
      </c>
      <c r="AJ26" s="23">
        <f>AJ17</f>
        <v>3237819369.2301588</v>
      </c>
      <c r="AK26" s="23">
        <v>2</v>
      </c>
      <c r="AL26" s="23">
        <f>AJ26/AK26</f>
        <v>1618909684.6150794</v>
      </c>
      <c r="AM26" s="3">
        <f>AL26/AL27</f>
        <v>5.5583284973439238</v>
      </c>
      <c r="AR26" s="22" t="s">
        <v>386</v>
      </c>
      <c r="AS26" s="193">
        <f>AM28</f>
        <v>1.5624371390577797E-2</v>
      </c>
      <c r="AT26" s="194"/>
      <c r="AU26" s="195"/>
    </row>
    <row r="27" spans="3:47" ht="15.75" thickBot="1">
      <c r="D27" s="2" t="s">
        <v>273</v>
      </c>
      <c r="E27" s="23"/>
      <c r="F27" s="23"/>
      <c r="G27" s="3">
        <f>(SUM(D9:X9))/18</f>
        <v>9804.9444444444453</v>
      </c>
      <c r="H27">
        <f>G27/18.5</f>
        <v>529.99699699699704</v>
      </c>
      <c r="I27" t="s">
        <v>274</v>
      </c>
      <c r="K27" s="9" t="s">
        <v>202</v>
      </c>
      <c r="L27" s="2" t="s">
        <v>267</v>
      </c>
      <c r="M27" s="23"/>
      <c r="N27" s="23"/>
      <c r="O27" s="3">
        <f>(SUM(D6:G6))/4</f>
        <v>2105</v>
      </c>
      <c r="R27" s="9" t="s">
        <v>202</v>
      </c>
      <c r="S27" s="2" t="s">
        <v>267</v>
      </c>
      <c r="T27" s="23"/>
      <c r="U27" s="23"/>
      <c r="V27" s="3">
        <f>(SUM(J6:P6))/7</f>
        <v>525.5200000000001</v>
      </c>
      <c r="Z27" s="9" t="s">
        <v>202</v>
      </c>
      <c r="AA27" s="2" t="s">
        <v>267</v>
      </c>
      <c r="AB27" s="23"/>
      <c r="AC27" s="23"/>
      <c r="AD27" s="3">
        <f>(SUM(R6:X6))/7</f>
        <v>543.57142857142856</v>
      </c>
      <c r="AI27" s="2" t="s">
        <v>369</v>
      </c>
      <c r="AJ27" s="23">
        <f>AJ28-AJ26</f>
        <v>4368875513.7142859</v>
      </c>
      <c r="AK27" s="23">
        <v>15</v>
      </c>
      <c r="AL27" s="23">
        <f>AJ27/AK27</f>
        <v>291258367.58095241</v>
      </c>
      <c r="AM27" s="3"/>
    </row>
    <row r="28" spans="3:47" ht="15.75" thickBot="1">
      <c r="D28" s="2"/>
      <c r="E28" s="23"/>
      <c r="F28" s="23"/>
      <c r="G28" s="3"/>
      <c r="L28" s="2" t="s">
        <v>268</v>
      </c>
      <c r="M28" s="23"/>
      <c r="N28" s="23"/>
      <c r="O28" s="3">
        <f t="shared" ref="O28:O30" si="3">(SUM(D7:G7))/4</f>
        <v>26480</v>
      </c>
      <c r="S28" s="2" t="s">
        <v>268</v>
      </c>
      <c r="T28" s="23"/>
      <c r="U28" s="23"/>
      <c r="V28" s="3">
        <f t="shared" ref="V28:V30" si="4">(SUM(J7:P7))/7</f>
        <v>1836.1428571428571</v>
      </c>
      <c r="AA28" s="2" t="s">
        <v>268</v>
      </c>
      <c r="AB28" s="23"/>
      <c r="AC28" s="23"/>
      <c r="AD28" s="3">
        <f t="shared" ref="AD28:AD30" si="5">(SUM(R7:X7))/7</f>
        <v>126.14285714285714</v>
      </c>
      <c r="AI28" s="4" t="s">
        <v>78</v>
      </c>
      <c r="AJ28" s="24">
        <f>AJ5</f>
        <v>7606694882.9444447</v>
      </c>
      <c r="AK28" s="24">
        <v>17</v>
      </c>
      <c r="AL28" s="24"/>
      <c r="AM28" s="67">
        <f>FDIST(AM26,AK26,AK27)</f>
        <v>1.5624371390577797E-2</v>
      </c>
    </row>
    <row r="29" spans="3:47">
      <c r="D29" s="2" t="s">
        <v>270</v>
      </c>
      <c r="E29" s="23"/>
      <c r="F29" s="23"/>
      <c r="G29" s="3">
        <f>(G24/G27)*100</f>
        <v>9.0111225062185181</v>
      </c>
      <c r="L29" s="2" t="s">
        <v>269</v>
      </c>
      <c r="M29" s="23"/>
      <c r="N29" s="23"/>
      <c r="O29" s="3">
        <f t="shared" si="3"/>
        <v>6250</v>
      </c>
      <c r="S29" s="2" t="s">
        <v>269</v>
      </c>
      <c r="T29" s="23"/>
      <c r="U29" s="23"/>
      <c r="V29" s="3">
        <f t="shared" si="4"/>
        <v>997.14285714285711</v>
      </c>
      <c r="AA29" s="2" t="s">
        <v>269</v>
      </c>
      <c r="AB29" s="23"/>
      <c r="AC29" s="23"/>
      <c r="AD29" s="3">
        <f t="shared" si="5"/>
        <v>921.42857142857144</v>
      </c>
    </row>
    <row r="30" spans="3:47">
      <c r="D30" s="2" t="s">
        <v>271</v>
      </c>
      <c r="E30" s="23"/>
      <c r="F30" s="23"/>
      <c r="G30" s="3">
        <f>(G25/G27)*100</f>
        <v>67.797993076055732</v>
      </c>
      <c r="L30" s="2" t="s">
        <v>273</v>
      </c>
      <c r="M30" s="23"/>
      <c r="N30" s="23"/>
      <c r="O30" s="3">
        <f t="shared" si="3"/>
        <v>34835</v>
      </c>
      <c r="S30" s="2" t="s">
        <v>273</v>
      </c>
      <c r="T30" s="23"/>
      <c r="U30" s="23"/>
      <c r="V30" s="3">
        <f t="shared" si="4"/>
        <v>3715.8571428571427</v>
      </c>
      <c r="AA30" s="2" t="s">
        <v>273</v>
      </c>
      <c r="AB30" s="23"/>
      <c r="AC30" s="23"/>
      <c r="AD30" s="3">
        <f t="shared" si="5"/>
        <v>1591.1428571428571</v>
      </c>
    </row>
    <row r="31" spans="3:47" ht="15.75" thickBot="1">
      <c r="D31" s="4" t="s">
        <v>272</v>
      </c>
      <c r="E31" s="24"/>
      <c r="F31" s="24"/>
      <c r="G31" s="3">
        <f>(G26/G27)*100</f>
        <v>21.77472817002759</v>
      </c>
      <c r="L31" s="2"/>
      <c r="M31" s="23"/>
      <c r="N31" s="23"/>
      <c r="O31" s="3"/>
      <c r="S31" s="2"/>
      <c r="T31" s="23"/>
      <c r="U31" s="23"/>
      <c r="V31" s="3"/>
      <c r="AA31" s="2"/>
      <c r="AB31" s="23"/>
      <c r="AC31" s="23"/>
      <c r="AD31" s="3"/>
    </row>
    <row r="32" spans="3:47" ht="15.75" thickBot="1">
      <c r="D32" s="47"/>
      <c r="E32" s="23"/>
      <c r="F32" s="23"/>
      <c r="G32" s="3"/>
      <c r="L32" s="2" t="s">
        <v>270</v>
      </c>
      <c r="M32" s="23"/>
      <c r="N32" s="23"/>
      <c r="O32" s="3">
        <f>(O27/O30)*100</f>
        <v>6.0427730730587053</v>
      </c>
      <c r="P32" s="9" t="s">
        <v>310</v>
      </c>
      <c r="Q32" s="20">
        <f>1/4*100</f>
        <v>25</v>
      </c>
      <c r="S32" s="2" t="s">
        <v>270</v>
      </c>
      <c r="T32" s="23"/>
      <c r="U32" s="23"/>
      <c r="V32" s="3">
        <f>(V27/V30)*100</f>
        <v>14.142631963400104</v>
      </c>
      <c r="W32" s="9" t="s">
        <v>310</v>
      </c>
      <c r="X32" s="20">
        <f>6/7*100</f>
        <v>85.714285714285708</v>
      </c>
      <c r="AA32" s="2" t="s">
        <v>270</v>
      </c>
      <c r="AB32" s="23"/>
      <c r="AC32" s="23"/>
      <c r="AD32" s="3">
        <f>(AD27/AD30)*100</f>
        <v>34.16232716825283</v>
      </c>
      <c r="AE32" s="9" t="s">
        <v>310</v>
      </c>
      <c r="AF32" s="20">
        <f>6/7*100</f>
        <v>85.714285714285708</v>
      </c>
    </row>
    <row r="33" spans="3:41" ht="15.75" thickBot="1">
      <c r="C33" s="9" t="s">
        <v>203</v>
      </c>
      <c r="D33" s="48" t="s">
        <v>276</v>
      </c>
      <c r="E33" s="19"/>
      <c r="F33" s="19"/>
      <c r="G33" s="20"/>
      <c r="L33" s="2" t="s">
        <v>271</v>
      </c>
      <c r="M33" s="23"/>
      <c r="N33" s="23"/>
      <c r="O33" s="3">
        <f>(O28/O30)*100</f>
        <v>76.015501650638726</v>
      </c>
      <c r="S33" s="2" t="s">
        <v>271</v>
      </c>
      <c r="T33" s="23"/>
      <c r="U33" s="23"/>
      <c r="V33" s="3">
        <f>(V28/V30)*100</f>
        <v>49.413709584406604</v>
      </c>
      <c r="AA33" s="2" t="s">
        <v>271</v>
      </c>
      <c r="AB33" s="23"/>
      <c r="AC33" s="23"/>
      <c r="AD33" s="3">
        <f>(AD28/AD30)*100</f>
        <v>7.9278146884539407</v>
      </c>
    </row>
    <row r="34" spans="3:41" ht="15.75" thickBot="1">
      <c r="D34" s="47" t="s">
        <v>277</v>
      </c>
      <c r="E34" s="23"/>
      <c r="F34" s="23">
        <f>(1/18)*100</f>
        <v>5.5555555555555554</v>
      </c>
      <c r="G34" s="3"/>
      <c r="L34" s="4" t="s">
        <v>272</v>
      </c>
      <c r="M34" s="24"/>
      <c r="N34" s="24"/>
      <c r="O34" s="3">
        <f>(O29/O30)*100</f>
        <v>17.94172527630257</v>
      </c>
      <c r="S34" s="4" t="s">
        <v>272</v>
      </c>
      <c r="T34" s="24"/>
      <c r="U34" s="24"/>
      <c r="V34" s="3">
        <f>(V29/V30)*100</f>
        <v>26.834800661258701</v>
      </c>
      <c r="AA34" s="4" t="s">
        <v>272</v>
      </c>
      <c r="AB34" s="24"/>
      <c r="AC34" s="24"/>
      <c r="AD34" s="3">
        <f>(AD29/AD30)*100</f>
        <v>57.909858143293235</v>
      </c>
    </row>
    <row r="35" spans="3:41" ht="15.75" thickBot="1">
      <c r="D35" s="47" t="s">
        <v>278</v>
      </c>
      <c r="E35" s="23"/>
      <c r="F35" s="23">
        <f>(2/18)*100</f>
        <v>11.111111111111111</v>
      </c>
      <c r="G35" s="3"/>
      <c r="L35" s="47"/>
      <c r="M35" s="23"/>
      <c r="N35" s="23"/>
      <c r="O35" s="3"/>
      <c r="S35" s="47"/>
      <c r="T35" s="23"/>
      <c r="U35" s="23"/>
      <c r="V35" s="3"/>
      <c r="AA35" s="47"/>
      <c r="AB35" s="23"/>
      <c r="AC35" s="23"/>
      <c r="AD35" s="3"/>
    </row>
    <row r="36" spans="3:41" ht="15.75" thickBot="1">
      <c r="D36" s="47" t="s">
        <v>279</v>
      </c>
      <c r="E36" s="23"/>
      <c r="F36" s="23">
        <f>(15/18)*100</f>
        <v>83.333333333333343</v>
      </c>
      <c r="G36" s="3"/>
      <c r="K36" s="9" t="s">
        <v>203</v>
      </c>
      <c r="L36" s="48" t="s">
        <v>276</v>
      </c>
      <c r="M36" s="19"/>
      <c r="N36" s="19"/>
      <c r="O36" s="20"/>
      <c r="R36" s="9" t="s">
        <v>203</v>
      </c>
      <c r="S36" s="48" t="s">
        <v>276</v>
      </c>
      <c r="T36" s="19"/>
      <c r="U36" s="19"/>
      <c r="V36" s="20"/>
      <c r="Z36" s="9" t="s">
        <v>203</v>
      </c>
      <c r="AA36" s="48" t="s">
        <v>276</v>
      </c>
      <c r="AB36" s="19"/>
      <c r="AC36" s="19"/>
      <c r="AD36" s="20"/>
    </row>
    <row r="37" spans="3:41" ht="15.75" thickBot="1">
      <c r="D37" s="2"/>
      <c r="E37" s="23"/>
      <c r="F37" s="23"/>
      <c r="G37" s="3"/>
      <c r="L37" s="47" t="s">
        <v>277</v>
      </c>
      <c r="M37" s="23"/>
      <c r="N37" s="23">
        <f>(1/4)*100</f>
        <v>25</v>
      </c>
      <c r="O37" s="3"/>
      <c r="S37" s="47" t="s">
        <v>277</v>
      </c>
      <c r="T37" s="23"/>
      <c r="U37" s="23">
        <f>(0/7)*100</f>
        <v>0</v>
      </c>
      <c r="V37" s="3"/>
      <c r="AA37" s="47" t="s">
        <v>277</v>
      </c>
      <c r="AB37" s="23"/>
      <c r="AC37" s="23">
        <f>(0/7)*100</f>
        <v>0</v>
      </c>
      <c r="AD37" s="3"/>
      <c r="AL37" s="12" t="s">
        <v>531</v>
      </c>
      <c r="AM37" s="32" t="s">
        <v>532</v>
      </c>
      <c r="AN37" s="12" t="s">
        <v>533</v>
      </c>
      <c r="AO37" s="18" t="s">
        <v>534</v>
      </c>
    </row>
    <row r="38" spans="3:41" ht="15.75" thickBot="1">
      <c r="C38" s="9" t="s">
        <v>204</v>
      </c>
      <c r="D38" s="9" t="s">
        <v>282</v>
      </c>
      <c r="E38" s="19"/>
      <c r="F38" s="19"/>
      <c r="G38" s="20"/>
      <c r="L38" s="47" t="s">
        <v>278</v>
      </c>
      <c r="M38" s="23"/>
      <c r="N38" s="23">
        <f>(2/4)*100</f>
        <v>50</v>
      </c>
      <c r="O38" s="3"/>
      <c r="S38" s="47" t="s">
        <v>278</v>
      </c>
      <c r="T38" s="23"/>
      <c r="U38" s="23">
        <f t="shared" ref="U38" si="6">(0/7)*100</f>
        <v>0</v>
      </c>
      <c r="V38" s="3"/>
      <c r="AA38" s="47" t="s">
        <v>278</v>
      </c>
      <c r="AB38" s="23"/>
      <c r="AC38" s="23">
        <f t="shared" ref="AC38" si="7">(0/7)*100</f>
        <v>0</v>
      </c>
      <c r="AD38" s="3"/>
      <c r="AJ38" s="31" t="s">
        <v>267</v>
      </c>
      <c r="AK38" s="18"/>
      <c r="AL38" s="97">
        <v>883.53555555555556</v>
      </c>
      <c r="AM38" s="98">
        <v>2105</v>
      </c>
      <c r="AN38" s="97">
        <v>525.5200000000001</v>
      </c>
      <c r="AO38" s="97">
        <v>543.57142857142856</v>
      </c>
    </row>
    <row r="39" spans="3:41" ht="15.75" thickBot="1">
      <c r="D39" s="2">
        <v>1</v>
      </c>
      <c r="E39" s="23">
        <f>(0/18)*100</f>
        <v>0</v>
      </c>
      <c r="F39" s="23"/>
      <c r="G39" s="3"/>
      <c r="L39" s="47" t="s">
        <v>279</v>
      </c>
      <c r="M39" s="23"/>
      <c r="N39" s="23">
        <f t="shared" ref="N39" si="8">(1/4)*100</f>
        <v>25</v>
      </c>
      <c r="O39" s="3"/>
      <c r="S39" s="47" t="s">
        <v>279</v>
      </c>
      <c r="T39" s="23"/>
      <c r="U39" s="23">
        <f>(7/7)*100</f>
        <v>100</v>
      </c>
      <c r="V39" s="3"/>
      <c r="AA39" s="47" t="s">
        <v>279</v>
      </c>
      <c r="AB39" s="23"/>
      <c r="AC39" s="23">
        <f>(7/7)*100</f>
        <v>100</v>
      </c>
      <c r="AD39" s="3"/>
      <c r="AJ39" s="39" t="s">
        <v>268</v>
      </c>
      <c r="AK39" s="40"/>
      <c r="AL39" s="99">
        <v>6647.5555555555557</v>
      </c>
      <c r="AM39" s="100">
        <v>26480</v>
      </c>
      <c r="AN39" s="99">
        <v>1836.1428571428571</v>
      </c>
      <c r="AO39" s="99">
        <v>126.14285714285714</v>
      </c>
    </row>
    <row r="40" spans="3:41" ht="15.75" thickBot="1">
      <c r="D40" s="2">
        <v>2</v>
      </c>
      <c r="E40" s="23">
        <f>(11/18)*100</f>
        <v>61.111111111111114</v>
      </c>
      <c r="F40" s="23"/>
      <c r="G40" s="3"/>
      <c r="L40" s="2"/>
      <c r="M40" s="23"/>
      <c r="N40" s="23"/>
      <c r="O40" s="3"/>
      <c r="S40" s="2"/>
      <c r="T40" s="23"/>
      <c r="U40" s="23"/>
      <c r="V40" s="3"/>
      <c r="AA40" s="2"/>
      <c r="AB40" s="23"/>
      <c r="AC40" s="23"/>
      <c r="AD40" s="3"/>
      <c r="AJ40" s="31" t="s">
        <v>535</v>
      </c>
      <c r="AK40" s="18"/>
      <c r="AL40" s="97">
        <v>2135</v>
      </c>
      <c r="AM40" s="98">
        <v>6250</v>
      </c>
      <c r="AN40" s="97">
        <v>997.14285714285711</v>
      </c>
      <c r="AO40" s="97">
        <v>921.42857142857144</v>
      </c>
    </row>
    <row r="41" spans="3:41" ht="15.75" thickBot="1">
      <c r="D41" s="2">
        <v>3</v>
      </c>
      <c r="E41" s="23">
        <f>(7/18)*100</f>
        <v>38.888888888888893</v>
      </c>
      <c r="F41" s="23"/>
      <c r="G41" s="3"/>
      <c r="K41" s="9" t="s">
        <v>204</v>
      </c>
      <c r="L41" s="9" t="s">
        <v>282</v>
      </c>
      <c r="M41" s="19"/>
      <c r="N41" s="19"/>
      <c r="O41" s="20"/>
      <c r="R41" s="9" t="s">
        <v>204</v>
      </c>
      <c r="S41" s="9" t="s">
        <v>282</v>
      </c>
      <c r="T41" s="19"/>
      <c r="U41" s="19"/>
      <c r="V41" s="20"/>
      <c r="Z41" s="9" t="s">
        <v>204</v>
      </c>
      <c r="AA41" s="9" t="s">
        <v>282</v>
      </c>
      <c r="AB41" s="19"/>
      <c r="AC41" s="19"/>
      <c r="AD41" s="20"/>
      <c r="AJ41" s="31" t="s">
        <v>273</v>
      </c>
      <c r="AK41" s="18"/>
      <c r="AL41" s="97">
        <v>9804.9444444444453</v>
      </c>
      <c r="AM41" s="98">
        <v>34835</v>
      </c>
      <c r="AN41" s="97">
        <v>3715.8571428571427</v>
      </c>
      <c r="AO41" s="97">
        <v>1591.1428571428571</v>
      </c>
    </row>
    <row r="42" spans="3:41" ht="15.75" thickBot="1">
      <c r="D42" s="2"/>
      <c r="E42" s="23"/>
      <c r="F42" s="23"/>
      <c r="G42" s="3"/>
      <c r="L42" s="2">
        <v>1</v>
      </c>
      <c r="M42" s="23">
        <f>(0/4)*100</f>
        <v>0</v>
      </c>
      <c r="N42" s="23"/>
      <c r="O42" s="3"/>
      <c r="S42" s="2">
        <v>1</v>
      </c>
      <c r="T42" s="23">
        <f>(0/7)*100</f>
        <v>0</v>
      </c>
      <c r="U42" s="23"/>
      <c r="V42" s="3"/>
      <c r="AA42" s="2">
        <v>1</v>
      </c>
      <c r="AB42" s="23">
        <f>(0/7)*100</f>
        <v>0</v>
      </c>
      <c r="AC42" s="23"/>
      <c r="AD42" s="3"/>
      <c r="AJ42" s="156" t="s">
        <v>270</v>
      </c>
      <c r="AK42" s="157"/>
      <c r="AL42" s="97">
        <v>9.0111225062185181</v>
      </c>
      <c r="AM42" s="98">
        <v>6.0427730730587053</v>
      </c>
      <c r="AN42" s="97">
        <v>14.142631963400104</v>
      </c>
      <c r="AO42" s="97">
        <v>34.16232716825283</v>
      </c>
    </row>
    <row r="43" spans="3:41" ht="15.75" thickBot="1">
      <c r="C43" s="9" t="s">
        <v>205</v>
      </c>
      <c r="D43" s="9" t="s">
        <v>283</v>
      </c>
      <c r="E43" s="19"/>
      <c r="F43" s="19"/>
      <c r="G43" s="20"/>
      <c r="L43" s="2">
        <v>2</v>
      </c>
      <c r="M43" s="23">
        <f t="shared" ref="M43" si="9">(0/4)*100</f>
        <v>0</v>
      </c>
      <c r="N43" s="23"/>
      <c r="O43" s="3"/>
      <c r="S43" s="2">
        <v>2</v>
      </c>
      <c r="T43" s="23">
        <f>(4/7)*100</f>
        <v>57.142857142857139</v>
      </c>
      <c r="U43" s="23"/>
      <c r="V43" s="3"/>
      <c r="AA43" s="2">
        <v>2</v>
      </c>
      <c r="AB43" s="23">
        <f>(7/7)*100</f>
        <v>100</v>
      </c>
      <c r="AC43" s="23"/>
      <c r="AD43" s="3"/>
      <c r="AJ43" s="156" t="s">
        <v>271</v>
      </c>
      <c r="AK43" s="157"/>
      <c r="AL43" s="97">
        <v>67.797993076055732</v>
      </c>
      <c r="AM43" s="98">
        <v>76.015501650638726</v>
      </c>
      <c r="AN43" s="97">
        <v>49.413709584406604</v>
      </c>
      <c r="AO43" s="97">
        <v>7.9278146884539407</v>
      </c>
    </row>
    <row r="44" spans="3:41" ht="15.75" thickBot="1">
      <c r="D44" s="2" t="s">
        <v>217</v>
      </c>
      <c r="E44" s="23">
        <f>(1/18)*100</f>
        <v>5.5555555555555554</v>
      </c>
      <c r="F44" s="23"/>
      <c r="G44" s="3"/>
      <c r="L44" s="2">
        <v>3</v>
      </c>
      <c r="M44" s="23">
        <f>(4/4)*100</f>
        <v>100</v>
      </c>
      <c r="N44" s="23"/>
      <c r="O44" s="3"/>
      <c r="S44" s="2">
        <v>3</v>
      </c>
      <c r="T44" s="23">
        <f>(3/7)*100</f>
        <v>42.857142857142854</v>
      </c>
      <c r="U44" s="23"/>
      <c r="V44" s="3"/>
      <c r="AA44" s="2">
        <v>3</v>
      </c>
      <c r="AB44" s="23">
        <f>(0/7)*100</f>
        <v>0</v>
      </c>
      <c r="AC44" s="23"/>
      <c r="AD44" s="3"/>
      <c r="AJ44" s="189" t="s">
        <v>536</v>
      </c>
      <c r="AK44" s="159"/>
      <c r="AL44" s="97">
        <v>21.77472817002759</v>
      </c>
      <c r="AM44" s="102">
        <v>17.94172527630257</v>
      </c>
      <c r="AN44" s="101">
        <v>26.834800661258701</v>
      </c>
      <c r="AO44" s="101">
        <v>57.909858143293235</v>
      </c>
    </row>
    <row r="45" spans="3:41" ht="15.75" thickBot="1">
      <c r="D45" s="2" t="s">
        <v>284</v>
      </c>
      <c r="E45" s="23">
        <f>(2/18)*100</f>
        <v>11.111111111111111</v>
      </c>
      <c r="F45" s="23"/>
      <c r="G45" s="3"/>
      <c r="L45" s="2"/>
      <c r="M45" s="23"/>
      <c r="N45" s="23"/>
      <c r="O45" s="3"/>
      <c r="S45" s="2"/>
      <c r="T45" s="23"/>
      <c r="U45" s="23"/>
      <c r="V45" s="3"/>
      <c r="AA45" s="2"/>
      <c r="AB45" s="23"/>
      <c r="AC45" s="23"/>
      <c r="AD45" s="3"/>
      <c r="AJ45" s="31" t="s">
        <v>537</v>
      </c>
      <c r="AK45" s="32"/>
      <c r="AL45" s="10"/>
      <c r="AM45" s="19">
        <f>25</f>
        <v>25</v>
      </c>
      <c r="AN45" s="103">
        <v>85.7</v>
      </c>
      <c r="AO45" s="103">
        <v>85.7</v>
      </c>
    </row>
    <row r="46" spans="3:41" ht="15.75" thickBot="1">
      <c r="D46" s="39" t="s">
        <v>285</v>
      </c>
      <c r="E46" s="23">
        <f>(7/18)*100</f>
        <v>38.888888888888893</v>
      </c>
      <c r="F46" s="23"/>
      <c r="G46" s="3"/>
      <c r="K46" s="9" t="s">
        <v>205</v>
      </c>
      <c r="L46" s="9" t="s">
        <v>283</v>
      </c>
      <c r="M46" s="19"/>
      <c r="N46" s="19"/>
      <c r="O46" s="20"/>
      <c r="R46" s="9" t="s">
        <v>205</v>
      </c>
      <c r="S46" s="9" t="s">
        <v>283</v>
      </c>
      <c r="T46" s="19"/>
      <c r="U46" s="19"/>
      <c r="V46" s="20"/>
      <c r="Z46" s="9" t="s">
        <v>205</v>
      </c>
      <c r="AA46" s="9" t="s">
        <v>283</v>
      </c>
      <c r="AB46" s="19"/>
      <c r="AC46" s="19"/>
      <c r="AD46" s="20"/>
    </row>
    <row r="47" spans="3:41">
      <c r="D47" s="39" t="s">
        <v>286</v>
      </c>
      <c r="E47" s="23">
        <f>(5/18)*100</f>
        <v>27.777777777777779</v>
      </c>
      <c r="F47" s="23"/>
      <c r="G47" s="3"/>
      <c r="L47" s="2" t="s">
        <v>217</v>
      </c>
      <c r="M47" s="23">
        <f>(1/4)*100</f>
        <v>25</v>
      </c>
      <c r="N47" s="23"/>
      <c r="O47" s="3"/>
      <c r="S47" s="2" t="s">
        <v>217</v>
      </c>
      <c r="T47" s="23">
        <f>(0/7)*100</f>
        <v>0</v>
      </c>
      <c r="U47" s="23"/>
      <c r="V47" s="3"/>
      <c r="AA47" s="2" t="s">
        <v>217</v>
      </c>
      <c r="AB47" s="23">
        <f>(0/7)*100</f>
        <v>0</v>
      </c>
      <c r="AC47" s="23"/>
      <c r="AD47" s="3"/>
    </row>
    <row r="48" spans="3:41">
      <c r="D48" s="39" t="s">
        <v>287</v>
      </c>
      <c r="E48" s="23">
        <f>(6/18)*100</f>
        <v>33.333333333333329</v>
      </c>
      <c r="F48" s="23"/>
      <c r="G48" s="3"/>
      <c r="L48" s="2" t="s">
        <v>284</v>
      </c>
      <c r="M48" s="23">
        <f>(0/4)*100</f>
        <v>0</v>
      </c>
      <c r="N48" s="23"/>
      <c r="O48" s="3"/>
      <c r="S48" s="2" t="s">
        <v>284</v>
      </c>
      <c r="T48" s="23">
        <f>(1/7)*100</f>
        <v>14.285714285714285</v>
      </c>
      <c r="U48" s="23"/>
      <c r="V48" s="3"/>
      <c r="AA48" s="2" t="s">
        <v>284</v>
      </c>
      <c r="AB48" s="23">
        <f>(1/7)*100</f>
        <v>14.285714285714285</v>
      </c>
      <c r="AC48" s="23"/>
      <c r="AD48" s="3"/>
    </row>
    <row r="49" spans="3:30">
      <c r="D49" s="39" t="s">
        <v>288</v>
      </c>
      <c r="E49" s="23">
        <f>(7/18)*100</f>
        <v>38.888888888888893</v>
      </c>
      <c r="F49" s="23"/>
      <c r="G49" s="3"/>
      <c r="L49" s="39" t="s">
        <v>285</v>
      </c>
      <c r="M49" s="23">
        <f>(2/4)*100</f>
        <v>50</v>
      </c>
      <c r="N49" s="23"/>
      <c r="O49" s="3"/>
      <c r="S49" s="39" t="s">
        <v>285</v>
      </c>
      <c r="T49" s="23">
        <f>(2/7)*100</f>
        <v>28.571428571428569</v>
      </c>
      <c r="U49" s="23"/>
      <c r="V49" s="3"/>
      <c r="AA49" s="39" t="s">
        <v>285</v>
      </c>
      <c r="AB49" s="23">
        <f>(7/7)*100</f>
        <v>100</v>
      </c>
      <c r="AC49" s="23"/>
      <c r="AD49" s="3"/>
    </row>
    <row r="50" spans="3:30">
      <c r="D50" s="39" t="s">
        <v>289</v>
      </c>
      <c r="E50" s="23">
        <f>(5/18)*100</f>
        <v>27.777777777777779</v>
      </c>
      <c r="F50" s="23"/>
      <c r="G50" s="3"/>
      <c r="L50" s="47" t="s">
        <v>286</v>
      </c>
      <c r="M50" s="23">
        <f t="shared" ref="M50:M55" si="10">(0/4)*100</f>
        <v>0</v>
      </c>
      <c r="N50" s="23"/>
      <c r="O50" s="3"/>
      <c r="S50" s="39" t="s">
        <v>286</v>
      </c>
      <c r="T50" s="23">
        <f>(2/7)*100</f>
        <v>28.571428571428569</v>
      </c>
      <c r="U50" s="23"/>
      <c r="V50" s="3"/>
      <c r="AA50" s="39" t="s">
        <v>286</v>
      </c>
      <c r="AB50" s="23">
        <f>(7/7)*100</f>
        <v>100</v>
      </c>
      <c r="AC50" s="23"/>
      <c r="AD50" s="3"/>
    </row>
    <row r="51" spans="3:30">
      <c r="D51" s="39" t="s">
        <v>290</v>
      </c>
      <c r="E51" s="23">
        <f>(4/18)*100</f>
        <v>22.222222222222221</v>
      </c>
      <c r="F51" s="23"/>
      <c r="G51" s="3"/>
      <c r="L51" s="39" t="s">
        <v>287</v>
      </c>
      <c r="M51" s="23">
        <f>(1/4)*100</f>
        <v>25</v>
      </c>
      <c r="N51" s="23"/>
      <c r="O51" s="3"/>
      <c r="S51" s="39" t="s">
        <v>287</v>
      </c>
      <c r="T51" s="23">
        <f>(4/7)*100</f>
        <v>57.142857142857139</v>
      </c>
      <c r="U51" s="23"/>
      <c r="V51" s="3"/>
      <c r="AA51" s="39" t="s">
        <v>287</v>
      </c>
      <c r="AB51" s="23">
        <f>(3/7)*100</f>
        <v>42.857142857142854</v>
      </c>
      <c r="AC51" s="23"/>
      <c r="AD51" s="3"/>
    </row>
    <row r="52" spans="3:30">
      <c r="D52" s="2" t="s">
        <v>291</v>
      </c>
      <c r="E52" s="23">
        <f>(0/18)*100</f>
        <v>0</v>
      </c>
      <c r="F52" s="23"/>
      <c r="G52" s="3"/>
      <c r="L52" s="39" t="s">
        <v>288</v>
      </c>
      <c r="M52" s="23">
        <f>(1/4)*100</f>
        <v>25</v>
      </c>
      <c r="N52" s="23"/>
      <c r="O52" s="3"/>
      <c r="S52" s="39" t="s">
        <v>288</v>
      </c>
      <c r="T52" s="23">
        <f>(5/7)*100</f>
        <v>71.428571428571431</v>
      </c>
      <c r="U52" s="23"/>
      <c r="V52" s="3"/>
      <c r="AA52" s="39" t="s">
        <v>288</v>
      </c>
      <c r="AB52" s="23">
        <f>(3/7)*100</f>
        <v>42.857142857142854</v>
      </c>
      <c r="AC52" s="23"/>
      <c r="AD52" s="3"/>
    </row>
    <row r="53" spans="3:30" ht="15.75" thickBot="1">
      <c r="D53" s="2"/>
      <c r="E53" s="23"/>
      <c r="F53" s="23"/>
      <c r="G53" s="3"/>
      <c r="L53" s="54" t="s">
        <v>289</v>
      </c>
      <c r="M53" s="23">
        <f t="shared" si="10"/>
        <v>0</v>
      </c>
      <c r="N53" s="23"/>
      <c r="O53" s="3"/>
      <c r="S53" s="53" t="s">
        <v>289</v>
      </c>
      <c r="T53" s="23">
        <f>(4/7)*100</f>
        <v>57.142857142857139</v>
      </c>
      <c r="U53" s="23"/>
      <c r="V53" s="3"/>
      <c r="AA53" s="53" t="s">
        <v>289</v>
      </c>
      <c r="AB53" s="23">
        <f>(3/7)*100</f>
        <v>42.857142857142854</v>
      </c>
      <c r="AC53" s="23"/>
      <c r="AD53" s="3"/>
    </row>
    <row r="54" spans="3:30" ht="15.75" thickBot="1">
      <c r="C54" s="9" t="s">
        <v>206</v>
      </c>
      <c r="D54" s="9" t="s">
        <v>292</v>
      </c>
      <c r="E54" s="19"/>
      <c r="F54" s="19"/>
      <c r="G54" s="20"/>
      <c r="L54" s="47" t="s">
        <v>290</v>
      </c>
      <c r="M54" s="23">
        <f t="shared" si="10"/>
        <v>0</v>
      </c>
      <c r="N54" s="23"/>
      <c r="O54" s="3"/>
      <c r="S54" s="39" t="s">
        <v>290</v>
      </c>
      <c r="T54" s="23">
        <f>(4/7)*100</f>
        <v>57.142857142857139</v>
      </c>
      <c r="U54" s="23"/>
      <c r="V54" s="3"/>
      <c r="AA54" s="39" t="s">
        <v>290</v>
      </c>
      <c r="AB54" s="23">
        <f>(1/7)*100</f>
        <v>14.285714285714285</v>
      </c>
      <c r="AC54" s="23"/>
      <c r="AD54" s="3"/>
    </row>
    <row r="55" spans="3:30">
      <c r="D55" s="2"/>
      <c r="E55" s="23" t="s">
        <v>294</v>
      </c>
      <c r="F55" s="23" t="s">
        <v>295</v>
      </c>
      <c r="G55" s="3"/>
      <c r="L55" s="2" t="s">
        <v>291</v>
      </c>
      <c r="M55" s="23">
        <f t="shared" si="10"/>
        <v>0</v>
      </c>
      <c r="N55" s="23"/>
      <c r="O55" s="3"/>
      <c r="S55" s="2" t="s">
        <v>291</v>
      </c>
      <c r="T55" s="23">
        <f t="shared" ref="T55" si="11">(0/7)*100</f>
        <v>0</v>
      </c>
      <c r="U55" s="23"/>
      <c r="V55" s="3"/>
      <c r="AA55" s="2" t="s">
        <v>291</v>
      </c>
      <c r="AB55" s="23">
        <f>(1/7)*100</f>
        <v>14.285714285714285</v>
      </c>
      <c r="AC55" s="23"/>
      <c r="AD55" s="3"/>
    </row>
    <row r="56" spans="3:30" ht="15.75" thickBot="1">
      <c r="D56" s="39" t="s">
        <v>217</v>
      </c>
      <c r="E56" s="23">
        <f>(1/18)*100</f>
        <v>5.5555555555555554</v>
      </c>
      <c r="F56" s="23">
        <f>(1/18)*100</f>
        <v>5.5555555555555554</v>
      </c>
      <c r="G56" s="3"/>
      <c r="L56" s="2"/>
      <c r="M56" s="23"/>
      <c r="N56" s="23"/>
      <c r="O56" s="3"/>
      <c r="S56" s="2"/>
      <c r="T56" s="23"/>
      <c r="U56" s="23"/>
      <c r="V56" s="3"/>
      <c r="AA56" s="2"/>
      <c r="AB56" s="23"/>
      <c r="AC56" s="23"/>
      <c r="AD56" s="3"/>
    </row>
    <row r="57" spans="3:30" ht="15.75" thickBot="1">
      <c r="D57" s="39" t="s">
        <v>249</v>
      </c>
      <c r="E57" s="23">
        <f>(10/18)*100</f>
        <v>55.555555555555557</v>
      </c>
      <c r="F57" s="44">
        <f>(4/18)*100</f>
        <v>22.222222222222221</v>
      </c>
      <c r="G57" s="3"/>
      <c r="K57" s="9" t="s">
        <v>206</v>
      </c>
      <c r="L57" s="9" t="s">
        <v>292</v>
      </c>
      <c r="M57" s="19"/>
      <c r="N57" s="19"/>
      <c r="O57" s="20"/>
      <c r="R57" s="9" t="s">
        <v>206</v>
      </c>
      <c r="S57" s="9" t="s">
        <v>292</v>
      </c>
      <c r="T57" s="19"/>
      <c r="U57" s="19"/>
      <c r="V57" s="20"/>
      <c r="Z57" s="9" t="s">
        <v>206</v>
      </c>
      <c r="AA57" s="9" t="s">
        <v>292</v>
      </c>
      <c r="AB57" s="19"/>
      <c r="AC57" s="19"/>
      <c r="AD57" s="20"/>
    </row>
    <row r="58" spans="3:30">
      <c r="D58" s="39" t="s">
        <v>293</v>
      </c>
      <c r="E58" s="23">
        <f>(6/18)*100</f>
        <v>33.333333333333329</v>
      </c>
      <c r="F58" s="23">
        <f>(0/18)*100</f>
        <v>0</v>
      </c>
      <c r="G58" s="3"/>
      <c r="L58" s="2"/>
      <c r="M58" s="23" t="s">
        <v>294</v>
      </c>
      <c r="N58" s="23" t="s">
        <v>295</v>
      </c>
      <c r="O58" s="3"/>
      <c r="S58" s="2"/>
      <c r="T58" s="23" t="s">
        <v>294</v>
      </c>
      <c r="U58" s="23" t="s">
        <v>295</v>
      </c>
      <c r="V58" s="3"/>
      <c r="AA58" s="2"/>
      <c r="AB58" s="23" t="s">
        <v>294</v>
      </c>
      <c r="AC58" s="23" t="s">
        <v>295</v>
      </c>
      <c r="AD58" s="3"/>
    </row>
    <row r="59" spans="3:30">
      <c r="D59" s="2" t="s">
        <v>250</v>
      </c>
      <c r="E59" s="23">
        <f>(0/18)*100</f>
        <v>0</v>
      </c>
      <c r="F59" s="44">
        <f>(4/18)*100</f>
        <v>22.222222222222221</v>
      </c>
      <c r="G59" s="3"/>
      <c r="L59" s="39" t="s">
        <v>217</v>
      </c>
      <c r="M59" s="23">
        <f>(1/4)*100</f>
        <v>25</v>
      </c>
      <c r="N59" s="23">
        <f>(1/4)*100</f>
        <v>25</v>
      </c>
      <c r="O59" s="3"/>
      <c r="S59" s="47" t="s">
        <v>217</v>
      </c>
      <c r="T59" s="23">
        <f>(0/7)*100</f>
        <v>0</v>
      </c>
      <c r="U59" s="23">
        <f>(0/7)*100</f>
        <v>0</v>
      </c>
      <c r="V59" s="3"/>
      <c r="AA59" s="47" t="s">
        <v>217</v>
      </c>
      <c r="AB59" s="23">
        <f>(0/7)*100</f>
        <v>0</v>
      </c>
      <c r="AC59" s="23">
        <f>(0/7)*100</f>
        <v>0</v>
      </c>
      <c r="AD59" s="3"/>
    </row>
    <row r="60" spans="3:30">
      <c r="D60" s="2" t="s">
        <v>297</v>
      </c>
      <c r="E60" s="23">
        <f t="shared" ref="E60:E63" si="12">(0/18)*100</f>
        <v>0</v>
      </c>
      <c r="F60" s="44">
        <f>(3/18)*100</f>
        <v>16.666666666666664</v>
      </c>
      <c r="G60" s="3"/>
      <c r="L60" s="39" t="s">
        <v>249</v>
      </c>
      <c r="M60" s="23">
        <f>(2/4)*100</f>
        <v>50</v>
      </c>
      <c r="N60" s="23">
        <f>(0/4)*100</f>
        <v>0</v>
      </c>
      <c r="O60" s="3"/>
      <c r="S60" s="39" t="s">
        <v>249</v>
      </c>
      <c r="T60" s="23">
        <f>(7/7)*100</f>
        <v>100</v>
      </c>
      <c r="U60" s="23">
        <f t="shared" ref="T60:U66" si="13">(0/7)*100</f>
        <v>0</v>
      </c>
      <c r="V60" s="3"/>
      <c r="AA60" s="39" t="s">
        <v>249</v>
      </c>
      <c r="AB60" s="23">
        <f>(1/7)*100</f>
        <v>14.285714285714285</v>
      </c>
      <c r="AC60" s="23">
        <f>(3/7)*100</f>
        <v>42.857142857142854</v>
      </c>
      <c r="AD60" s="3"/>
    </row>
    <row r="61" spans="3:30">
      <c r="D61" s="2" t="s">
        <v>298</v>
      </c>
      <c r="E61" s="23">
        <f t="shared" si="12"/>
        <v>0</v>
      </c>
      <c r="F61" s="23">
        <f>(1/18)*100</f>
        <v>5.5555555555555554</v>
      </c>
      <c r="G61" s="3"/>
      <c r="L61" s="47" t="s">
        <v>293</v>
      </c>
      <c r="M61" s="23">
        <f>(0/4)*100</f>
        <v>0</v>
      </c>
      <c r="N61" s="23">
        <f t="shared" ref="N61:N65" si="14">(0/4)*100</f>
        <v>0</v>
      </c>
      <c r="O61" s="3"/>
      <c r="S61" s="47" t="s">
        <v>293</v>
      </c>
      <c r="T61" s="23">
        <f t="shared" si="13"/>
        <v>0</v>
      </c>
      <c r="U61" s="23">
        <f t="shared" si="13"/>
        <v>0</v>
      </c>
      <c r="V61" s="3"/>
      <c r="AA61" s="39" t="s">
        <v>293</v>
      </c>
      <c r="AB61" s="23">
        <f>(6/7)*100</f>
        <v>85.714285714285708</v>
      </c>
      <c r="AC61" s="23">
        <f t="shared" ref="AB61:AC66" si="15">(0/7)*100</f>
        <v>0</v>
      </c>
      <c r="AD61" s="3"/>
    </row>
    <row r="62" spans="3:30">
      <c r="D62" s="2" t="s">
        <v>299</v>
      </c>
      <c r="E62" s="23">
        <f t="shared" si="12"/>
        <v>0</v>
      </c>
      <c r="F62" s="23">
        <f t="shared" ref="F62" si="16">(1/18)*100</f>
        <v>5.5555555555555554</v>
      </c>
      <c r="G62" s="3"/>
      <c r="L62" s="39" t="s">
        <v>250</v>
      </c>
      <c r="M62" s="44">
        <f>(1/4)*100</f>
        <v>25</v>
      </c>
      <c r="N62" s="23">
        <f>(0/4)*100</f>
        <v>0</v>
      </c>
      <c r="O62" s="3"/>
      <c r="S62" s="39" t="s">
        <v>250</v>
      </c>
      <c r="T62" s="23">
        <f t="shared" si="13"/>
        <v>0</v>
      </c>
      <c r="U62" s="23">
        <f>(2/7)*100</f>
        <v>28.571428571428569</v>
      </c>
      <c r="V62" s="3"/>
      <c r="AA62" s="39" t="s">
        <v>250</v>
      </c>
      <c r="AB62" s="23">
        <f t="shared" si="15"/>
        <v>0</v>
      </c>
      <c r="AC62" s="23">
        <f>(2/7)*100</f>
        <v>28.571428571428569</v>
      </c>
      <c r="AD62" s="3"/>
    </row>
    <row r="63" spans="3:30">
      <c r="D63" s="2" t="s">
        <v>300</v>
      </c>
      <c r="E63" s="23">
        <f t="shared" si="12"/>
        <v>0</v>
      </c>
      <c r="F63" s="23">
        <f>(4/18)*100</f>
        <v>22.222222222222221</v>
      </c>
      <c r="G63" s="3"/>
      <c r="L63" s="39" t="s">
        <v>297</v>
      </c>
      <c r="M63" s="23">
        <f t="shared" ref="M63:M66" si="17">(0/4)*100</f>
        <v>0</v>
      </c>
      <c r="N63" s="44">
        <f>(2/4)*100</f>
        <v>50</v>
      </c>
      <c r="O63" s="3"/>
      <c r="S63" s="39" t="s">
        <v>297</v>
      </c>
      <c r="T63" s="23">
        <f t="shared" si="13"/>
        <v>0</v>
      </c>
      <c r="U63" s="23">
        <f>(1/7)*100</f>
        <v>14.285714285714285</v>
      </c>
      <c r="V63" s="3"/>
      <c r="AA63" s="47" t="s">
        <v>297</v>
      </c>
      <c r="AB63" s="23">
        <f t="shared" si="15"/>
        <v>0</v>
      </c>
      <c r="AC63" s="23">
        <f>(0/7)*100</f>
        <v>0</v>
      </c>
      <c r="AD63" s="3"/>
    </row>
    <row r="64" spans="3:30" ht="15.75" thickBot="1">
      <c r="D64" s="2"/>
      <c r="E64" s="23"/>
      <c r="F64" s="23"/>
      <c r="G64" s="3"/>
      <c r="L64" s="2" t="s">
        <v>298</v>
      </c>
      <c r="M64" s="23">
        <f t="shared" si="17"/>
        <v>0</v>
      </c>
      <c r="N64" s="23">
        <f t="shared" si="14"/>
        <v>0</v>
      </c>
      <c r="O64" s="3"/>
      <c r="S64" s="39" t="s">
        <v>298</v>
      </c>
      <c r="T64" s="23">
        <f t="shared" si="13"/>
        <v>0</v>
      </c>
      <c r="U64" s="23">
        <f>(1/7)*100</f>
        <v>14.285714285714285</v>
      </c>
      <c r="V64" s="3"/>
      <c r="AA64" s="47" t="s">
        <v>298</v>
      </c>
      <c r="AB64" s="23">
        <f t="shared" si="15"/>
        <v>0</v>
      </c>
      <c r="AC64" s="23">
        <f>(0/7)*100</f>
        <v>0</v>
      </c>
      <c r="AD64" s="3"/>
    </row>
    <row r="65" spans="3:30" ht="15.75" thickBot="1">
      <c r="C65" s="9" t="s">
        <v>207</v>
      </c>
      <c r="D65" s="9" t="s">
        <v>301</v>
      </c>
      <c r="E65" s="19"/>
      <c r="F65" s="19"/>
      <c r="G65" s="20"/>
      <c r="L65" s="2" t="s">
        <v>299</v>
      </c>
      <c r="M65" s="23">
        <f t="shared" si="17"/>
        <v>0</v>
      </c>
      <c r="N65" s="23">
        <f t="shared" si="14"/>
        <v>0</v>
      </c>
      <c r="O65" s="3"/>
      <c r="S65" s="2" t="s">
        <v>299</v>
      </c>
      <c r="T65" s="23">
        <f t="shared" si="13"/>
        <v>0</v>
      </c>
      <c r="U65" s="23">
        <f t="shared" si="13"/>
        <v>0</v>
      </c>
      <c r="V65" s="3"/>
      <c r="AA65" s="39" t="s">
        <v>299</v>
      </c>
      <c r="AB65" s="23">
        <f t="shared" si="15"/>
        <v>0</v>
      </c>
      <c r="AC65" s="23">
        <f>(2/7)*100</f>
        <v>28.571428571428569</v>
      </c>
      <c r="AD65" s="3"/>
    </row>
    <row r="66" spans="3:30" ht="15.75" thickBot="1">
      <c r="D66" s="2"/>
      <c r="E66" s="187" t="s">
        <v>302</v>
      </c>
      <c r="F66" s="188"/>
      <c r="G66" s="3"/>
      <c r="L66" s="2" t="s">
        <v>300</v>
      </c>
      <c r="M66" s="23">
        <f t="shared" si="17"/>
        <v>0</v>
      </c>
      <c r="N66" s="23">
        <f>(1/4)*100</f>
        <v>25</v>
      </c>
      <c r="O66" s="3"/>
      <c r="S66" s="39" t="s">
        <v>300</v>
      </c>
      <c r="T66" s="23">
        <f t="shared" si="13"/>
        <v>0</v>
      </c>
      <c r="U66" s="23">
        <f>(3/7)*100</f>
        <v>42.857142857142854</v>
      </c>
      <c r="V66" s="3"/>
      <c r="AA66" s="47" t="s">
        <v>300</v>
      </c>
      <c r="AB66" s="23">
        <f t="shared" si="15"/>
        <v>0</v>
      </c>
      <c r="AC66" s="23">
        <f>(0/7)*100</f>
        <v>0</v>
      </c>
      <c r="AD66" s="3"/>
    </row>
    <row r="67" spans="3:30" ht="15.75" thickBot="1">
      <c r="D67" s="2"/>
      <c r="E67" s="9">
        <v>1</v>
      </c>
      <c r="F67" s="20">
        <v>2</v>
      </c>
      <c r="G67" s="3"/>
      <c r="L67" s="2"/>
      <c r="M67" s="23"/>
      <c r="N67" s="23"/>
      <c r="O67" s="3"/>
      <c r="S67" s="2"/>
      <c r="T67" s="23"/>
      <c r="U67" s="23"/>
      <c r="V67" s="3"/>
      <c r="AA67" s="2"/>
      <c r="AB67" s="23"/>
      <c r="AC67" s="23"/>
      <c r="AD67" s="3"/>
    </row>
    <row r="68" spans="3:30" ht="15.75" thickBot="1">
      <c r="D68" s="2" t="s">
        <v>303</v>
      </c>
      <c r="E68" s="23">
        <f>(2/18)*100</f>
        <v>11.111111111111111</v>
      </c>
      <c r="F68" s="23">
        <f>(0/18)*100</f>
        <v>0</v>
      </c>
      <c r="G68" s="3"/>
      <c r="K68" s="9" t="s">
        <v>207</v>
      </c>
      <c r="L68" s="9" t="s">
        <v>301</v>
      </c>
      <c r="M68" s="19"/>
      <c r="N68" s="19"/>
      <c r="O68" s="20"/>
      <c r="R68" s="9" t="s">
        <v>207</v>
      </c>
      <c r="S68" s="9" t="s">
        <v>301</v>
      </c>
      <c r="T68" s="19"/>
      <c r="U68" s="19"/>
      <c r="V68" s="20"/>
      <c r="Z68" s="9" t="s">
        <v>207</v>
      </c>
      <c r="AA68" s="9" t="s">
        <v>301</v>
      </c>
      <c r="AB68" s="19"/>
      <c r="AC68" s="19"/>
      <c r="AD68" s="20"/>
    </row>
    <row r="69" spans="3:30" ht="15.75" thickBot="1">
      <c r="D69" s="2" t="s">
        <v>304</v>
      </c>
      <c r="E69" s="51">
        <f>(2/18)*100</f>
        <v>11.111111111111111</v>
      </c>
      <c r="F69" s="23">
        <f t="shared" ref="F69:F71" si="18">(0/18)*100</f>
        <v>0</v>
      </c>
      <c r="G69" s="3"/>
      <c r="L69" s="2"/>
      <c r="M69" s="187" t="s">
        <v>302</v>
      </c>
      <c r="N69" s="188"/>
      <c r="O69" s="3"/>
      <c r="S69" s="2"/>
      <c r="T69" s="187" t="s">
        <v>302</v>
      </c>
      <c r="U69" s="188"/>
      <c r="V69" s="3"/>
      <c r="AA69" s="2"/>
      <c r="AB69" s="187" t="s">
        <v>302</v>
      </c>
      <c r="AC69" s="188"/>
      <c r="AD69" s="3"/>
    </row>
    <row r="70" spans="3:30" ht="15.75" thickBot="1">
      <c r="D70" s="2" t="s">
        <v>305</v>
      </c>
      <c r="E70" s="51">
        <f>(6/18)*100</f>
        <v>33.333333333333329</v>
      </c>
      <c r="F70" s="23">
        <f t="shared" si="18"/>
        <v>0</v>
      </c>
      <c r="G70" s="3"/>
      <c r="L70" s="2"/>
      <c r="M70" s="9">
        <v>1</v>
      </c>
      <c r="N70" s="20">
        <v>2</v>
      </c>
      <c r="O70" s="3"/>
      <c r="S70" s="2"/>
      <c r="T70" s="9">
        <v>1</v>
      </c>
      <c r="U70" s="20">
        <v>2</v>
      </c>
      <c r="V70" s="3"/>
      <c r="AA70" s="2"/>
      <c r="AB70" s="9">
        <v>1</v>
      </c>
      <c r="AC70" s="20">
        <v>2</v>
      </c>
      <c r="AD70" s="3"/>
    </row>
    <row r="71" spans="3:30">
      <c r="D71" s="2" t="s">
        <v>228</v>
      </c>
      <c r="E71" s="51">
        <f>(4/18)*100</f>
        <v>22.222222222222221</v>
      </c>
      <c r="F71" s="23">
        <f t="shared" si="18"/>
        <v>0</v>
      </c>
      <c r="G71" s="3"/>
      <c r="L71" s="39" t="s">
        <v>303</v>
      </c>
      <c r="M71" s="23">
        <f>(2/4)*100</f>
        <v>50</v>
      </c>
      <c r="N71" s="23">
        <f>(0/4)*100</f>
        <v>0</v>
      </c>
      <c r="O71" s="3"/>
      <c r="S71" s="47" t="s">
        <v>303</v>
      </c>
      <c r="T71" s="23">
        <f>(0/7)*100</f>
        <v>0</v>
      </c>
      <c r="U71" s="23">
        <f>(0/7)*100</f>
        <v>0</v>
      </c>
      <c r="V71" s="3"/>
      <c r="AA71" s="47" t="s">
        <v>303</v>
      </c>
      <c r="AB71" s="23">
        <f>(0/7)*100</f>
        <v>0</v>
      </c>
      <c r="AC71" s="23">
        <f>(0/7)*100</f>
        <v>0</v>
      </c>
      <c r="AD71" s="3"/>
    </row>
    <row r="72" spans="3:30">
      <c r="D72" s="2" t="s">
        <v>229</v>
      </c>
      <c r="E72" s="23">
        <f>(0/18)*100</f>
        <v>0</v>
      </c>
      <c r="F72" s="23">
        <f>(1/18)*100</f>
        <v>5.5555555555555554</v>
      </c>
      <c r="G72" s="3"/>
      <c r="L72" s="39" t="s">
        <v>304</v>
      </c>
      <c r="M72" s="23">
        <f>(2/4)*100</f>
        <v>50</v>
      </c>
      <c r="N72" s="23">
        <f>(0/4)*100</f>
        <v>0</v>
      </c>
      <c r="O72" s="3"/>
      <c r="S72" s="47" t="s">
        <v>304</v>
      </c>
      <c r="T72" s="23">
        <f>(1/7)*100</f>
        <v>14.285714285714285</v>
      </c>
      <c r="U72" s="23">
        <f t="shared" ref="T72:U78" si="19">(0/7)*100</f>
        <v>0</v>
      </c>
      <c r="V72" s="3"/>
      <c r="AA72" s="47" t="s">
        <v>304</v>
      </c>
      <c r="AB72" s="23">
        <f>(0/7)*100</f>
        <v>0</v>
      </c>
      <c r="AC72" s="23">
        <f t="shared" ref="AB72:AC78" si="20">(0/7)*100</f>
        <v>0</v>
      </c>
      <c r="AD72" s="3"/>
    </row>
    <row r="73" spans="3:30">
      <c r="D73" s="2" t="s">
        <v>306</v>
      </c>
      <c r="E73" s="23">
        <f>(1/18)*100</f>
        <v>5.5555555555555554</v>
      </c>
      <c r="F73" s="51">
        <f>(5/18)*100</f>
        <v>27.777777777777779</v>
      </c>
      <c r="G73" s="3"/>
      <c r="L73" s="2" t="s">
        <v>305</v>
      </c>
      <c r="M73" s="23">
        <f>(0/4)*100</f>
        <v>0</v>
      </c>
      <c r="N73" s="23">
        <f>(0/4)*100</f>
        <v>0</v>
      </c>
      <c r="O73" s="3"/>
      <c r="S73" s="39" t="s">
        <v>305</v>
      </c>
      <c r="T73" s="23">
        <f>(3/7)*100</f>
        <v>42.857142857142854</v>
      </c>
      <c r="U73" s="23">
        <f t="shared" si="19"/>
        <v>0</v>
      </c>
      <c r="V73" s="3"/>
      <c r="AA73" s="39" t="s">
        <v>305</v>
      </c>
      <c r="AB73" s="23">
        <f>(2/7)*100</f>
        <v>28.571428571428569</v>
      </c>
      <c r="AC73" s="23">
        <f t="shared" si="20"/>
        <v>0</v>
      </c>
      <c r="AD73" s="3"/>
    </row>
    <row r="74" spans="3:30">
      <c r="D74" s="2" t="s">
        <v>230</v>
      </c>
      <c r="E74" s="23">
        <f>(0/18)*100</f>
        <v>0</v>
      </c>
      <c r="F74" s="51">
        <f>(6/18)*100</f>
        <v>33.333333333333329</v>
      </c>
      <c r="G74" s="3"/>
      <c r="L74" s="2" t="s">
        <v>228</v>
      </c>
      <c r="M74" s="23">
        <f t="shared" ref="M74:N79" si="21">(0/4)*100</f>
        <v>0</v>
      </c>
      <c r="N74" s="23">
        <f t="shared" si="21"/>
        <v>0</v>
      </c>
      <c r="O74" s="3"/>
      <c r="S74" s="2" t="s">
        <v>228</v>
      </c>
      <c r="T74" s="23">
        <f>(1/7)*100</f>
        <v>14.285714285714285</v>
      </c>
      <c r="U74" s="23">
        <f t="shared" si="19"/>
        <v>0</v>
      </c>
      <c r="V74" s="3"/>
      <c r="AA74" s="39" t="s">
        <v>228</v>
      </c>
      <c r="AB74" s="23">
        <f>(3/7)*100</f>
        <v>42.857142857142854</v>
      </c>
      <c r="AC74" s="23">
        <f t="shared" si="20"/>
        <v>0</v>
      </c>
      <c r="AD74" s="3"/>
    </row>
    <row r="75" spans="3:30">
      <c r="D75" s="2" t="s">
        <v>308</v>
      </c>
      <c r="E75" s="23">
        <f>(0/18)*100</f>
        <v>0</v>
      </c>
      <c r="F75" s="23">
        <f>(1/18)*100</f>
        <v>5.5555555555555554</v>
      </c>
      <c r="G75" s="3"/>
      <c r="L75" s="2" t="s">
        <v>229</v>
      </c>
      <c r="M75" s="23">
        <f t="shared" si="21"/>
        <v>0</v>
      </c>
      <c r="N75" s="23">
        <f t="shared" si="21"/>
        <v>0</v>
      </c>
      <c r="O75" s="3"/>
      <c r="S75" s="2" t="s">
        <v>229</v>
      </c>
      <c r="T75" s="23">
        <f t="shared" si="19"/>
        <v>0</v>
      </c>
      <c r="U75" s="23">
        <f>(1/7)*100</f>
        <v>14.285714285714285</v>
      </c>
      <c r="V75" s="3"/>
      <c r="AA75" s="2" t="s">
        <v>229</v>
      </c>
      <c r="AB75" s="23">
        <f t="shared" si="20"/>
        <v>0</v>
      </c>
      <c r="AC75" s="23">
        <f>(0/7)*100</f>
        <v>0</v>
      </c>
      <c r="AD75" s="3"/>
    </row>
    <row r="76" spans="3:30">
      <c r="D76" s="2" t="s">
        <v>307</v>
      </c>
      <c r="E76" s="23">
        <f>(3/18)*100</f>
        <v>16.666666666666664</v>
      </c>
      <c r="F76" s="52">
        <f>(5/18)*100</f>
        <v>27.777777777777779</v>
      </c>
      <c r="G76" s="3"/>
      <c r="L76" s="2" t="s">
        <v>306</v>
      </c>
      <c r="M76" s="23">
        <f t="shared" si="21"/>
        <v>0</v>
      </c>
      <c r="N76" s="23">
        <f t="shared" si="21"/>
        <v>0</v>
      </c>
      <c r="O76" s="3"/>
      <c r="S76" s="2" t="s">
        <v>306</v>
      </c>
      <c r="T76" s="23">
        <f>(1/7)*100</f>
        <v>14.285714285714285</v>
      </c>
      <c r="U76" s="23">
        <f>(1/7)*100</f>
        <v>14.285714285714285</v>
      </c>
      <c r="V76" s="3"/>
      <c r="AA76" s="39" t="s">
        <v>306</v>
      </c>
      <c r="AB76" s="23">
        <f t="shared" si="20"/>
        <v>0</v>
      </c>
      <c r="AC76" s="23">
        <f>(3/7)*100</f>
        <v>42.857142857142854</v>
      </c>
      <c r="AD76" s="3"/>
    </row>
    <row r="77" spans="3:30">
      <c r="D77" s="2" t="s">
        <v>43</v>
      </c>
      <c r="E77" s="23">
        <f>SUM(E68:E76)</f>
        <v>100</v>
      </c>
      <c r="F77" s="23">
        <f>SUM(F68:F76)</f>
        <v>100</v>
      </c>
      <c r="G77" s="3"/>
      <c r="L77" s="2" t="s">
        <v>230</v>
      </c>
      <c r="M77" s="23">
        <f t="shared" si="21"/>
        <v>0</v>
      </c>
      <c r="N77" s="23">
        <f t="shared" si="21"/>
        <v>0</v>
      </c>
      <c r="O77" s="3"/>
      <c r="S77" s="39" t="s">
        <v>230</v>
      </c>
      <c r="T77" s="23">
        <f t="shared" si="19"/>
        <v>0</v>
      </c>
      <c r="U77" s="23">
        <f>(3/7)*100</f>
        <v>42.857142857142854</v>
      </c>
      <c r="V77" s="3"/>
      <c r="AA77" s="39" t="s">
        <v>230</v>
      </c>
      <c r="AB77" s="23">
        <f t="shared" si="20"/>
        <v>0</v>
      </c>
      <c r="AC77" s="23">
        <f>(2/7)*100</f>
        <v>28.571428571428569</v>
      </c>
      <c r="AD77" s="3"/>
    </row>
    <row r="78" spans="3:30" ht="15.75" thickBot="1">
      <c r="D78" s="4"/>
      <c r="E78" s="24"/>
      <c r="F78" s="24"/>
      <c r="G78" s="5"/>
      <c r="L78" s="2" t="s">
        <v>308</v>
      </c>
      <c r="M78" s="23">
        <f t="shared" si="21"/>
        <v>0</v>
      </c>
      <c r="N78" s="23">
        <f t="shared" si="21"/>
        <v>0</v>
      </c>
      <c r="O78" s="3"/>
      <c r="S78" s="2" t="s">
        <v>308</v>
      </c>
      <c r="T78" s="23">
        <f t="shared" si="19"/>
        <v>0</v>
      </c>
      <c r="U78" s="23">
        <f>(1/7)*100</f>
        <v>14.285714285714285</v>
      </c>
      <c r="V78" s="3"/>
      <c r="AA78" s="2" t="s">
        <v>308</v>
      </c>
      <c r="AB78" s="23">
        <f t="shared" si="20"/>
        <v>0</v>
      </c>
      <c r="AC78" s="23">
        <f>(0/7)*100</f>
        <v>0</v>
      </c>
      <c r="AD78" s="3"/>
    </row>
    <row r="79" spans="3:30">
      <c r="L79" s="2" t="s">
        <v>307</v>
      </c>
      <c r="M79" s="23">
        <f t="shared" si="21"/>
        <v>0</v>
      </c>
      <c r="N79" s="23">
        <f t="shared" si="21"/>
        <v>0</v>
      </c>
      <c r="O79" s="3"/>
      <c r="S79" s="2" t="s">
        <v>307</v>
      </c>
      <c r="T79" s="23">
        <f>(1/7)*100</f>
        <v>14.285714285714285</v>
      </c>
      <c r="U79" s="23">
        <f>(1/7)*100</f>
        <v>14.285714285714285</v>
      </c>
      <c r="V79" s="3"/>
      <c r="AA79" s="2" t="s">
        <v>307</v>
      </c>
      <c r="AB79" s="23">
        <f>(2/7)*100</f>
        <v>28.571428571428569</v>
      </c>
      <c r="AC79" s="23">
        <f>(2/7)*100</f>
        <v>28.571428571428569</v>
      </c>
      <c r="AD79" s="3"/>
    </row>
    <row r="80" spans="3:30">
      <c r="L80" s="2" t="s">
        <v>43</v>
      </c>
      <c r="M80" s="23">
        <f>SUM(M71:M79)</f>
        <v>100</v>
      </c>
      <c r="N80" s="23">
        <f>SUM(N71:N79)</f>
        <v>0</v>
      </c>
      <c r="O80" s="3"/>
      <c r="S80" s="2" t="s">
        <v>43</v>
      </c>
      <c r="T80" s="23">
        <f>SUM(T71:T79)</f>
        <v>99.999999999999972</v>
      </c>
      <c r="U80" s="23">
        <f>SUM(U71:U79)</f>
        <v>99.999999999999972</v>
      </c>
      <c r="V80" s="3"/>
      <c r="AA80" s="2" t="s">
        <v>43</v>
      </c>
      <c r="AB80" s="23">
        <f>SUM(AB71:AB79)</f>
        <v>99.999999999999986</v>
      </c>
      <c r="AC80" s="23">
        <f>SUM(AC71:AC79)</f>
        <v>99.999999999999986</v>
      </c>
      <c r="AD80" s="3"/>
    </row>
    <row r="81" spans="12:30" ht="15.75" thickBot="1">
      <c r="L81" s="4"/>
      <c r="M81" s="24"/>
      <c r="N81" s="24"/>
      <c r="O81" s="5"/>
      <c r="S81" s="4"/>
      <c r="T81" s="24"/>
      <c r="U81" s="24"/>
      <c r="V81" s="5"/>
      <c r="AA81" s="4"/>
      <c r="AB81" s="24"/>
      <c r="AC81" s="24"/>
      <c r="AD81" s="5"/>
    </row>
  </sheetData>
  <mergeCells count="20">
    <mergeCell ref="AS21:AU21"/>
    <mergeCell ref="AS25:AU25"/>
    <mergeCell ref="AS26:AU26"/>
    <mergeCell ref="AI7:AL7"/>
    <mergeCell ref="AN7:AP7"/>
    <mergeCell ref="AO18:AP18"/>
    <mergeCell ref="M69:N69"/>
    <mergeCell ref="S25:V25"/>
    <mergeCell ref="T69:U69"/>
    <mergeCell ref="AA25:AD25"/>
    <mergeCell ref="AB69:AC69"/>
    <mergeCell ref="D3:G3"/>
    <mergeCell ref="D22:G22"/>
    <mergeCell ref="E66:F66"/>
    <mergeCell ref="L25:O25"/>
    <mergeCell ref="AJ42:AK42"/>
    <mergeCell ref="AJ43:AK43"/>
    <mergeCell ref="AJ44:AK44"/>
    <mergeCell ref="J3:P3"/>
    <mergeCell ref="R3:X3"/>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tropical livestock unit</vt:lpstr>
      <vt:lpstr>land size</vt:lpstr>
      <vt:lpstr>family size</vt:lpstr>
      <vt:lpstr>Etnic group, religion</vt:lpstr>
      <vt:lpstr>age of household head</vt:lpstr>
      <vt:lpstr>Acces to draft power</vt:lpstr>
      <vt:lpstr>Acces al credit</vt:lpstr>
      <vt:lpstr>acces social institution</vt:lpstr>
      <vt:lpstr>Total  income</vt:lpstr>
      <vt:lpstr>non food expenditure</vt:lpstr>
      <vt:lpstr>beneficiari ajuda alimentaria</vt:lpstr>
      <vt:lpstr>education level</vt:lpstr>
      <vt:lpstr>Us de fertilitzants</vt:lpstr>
      <vt:lpstr>Ingresos x adult equivalent</vt:lpstr>
      <vt:lpstr>cafe i enset</vt:lpstr>
      <vt:lpstr>Fertilitat del sòl</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Windows XP</cp:lastModifiedBy>
  <dcterms:created xsi:type="dcterms:W3CDTF">2009-12-26T20:28:19Z</dcterms:created>
  <dcterms:modified xsi:type="dcterms:W3CDTF">2010-03-26T15:35:57Z</dcterms:modified>
</cp:coreProperties>
</file>